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Korisnik\Documents\2025\"/>
    </mc:Choice>
  </mc:AlternateContent>
  <xr:revisionPtr revIDLastSave="0" documentId="8_{6FE5C37D-4E27-490D-A00E-9A5F2FBA191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2" i="1" l="1"/>
  <c r="D1452" i="1"/>
  <c r="G1452" i="1" s="1"/>
  <c r="J1452" i="1"/>
  <c r="C1455" i="1"/>
  <c r="H1455" i="1" s="1"/>
  <c r="D1455" i="1"/>
  <c r="C1456" i="1"/>
  <c r="D1456" i="1"/>
  <c r="G1456" i="1" s="1"/>
  <c r="J1456" i="1"/>
  <c r="C1457" i="1"/>
  <c r="H1457" i="1" s="1"/>
  <c r="D1457" i="1"/>
  <c r="C1458" i="1"/>
  <c r="D1458" i="1"/>
  <c r="G1458" i="1" s="1"/>
  <c r="J1458" i="1"/>
  <c r="C1459" i="1"/>
  <c r="H1459" i="1" s="1"/>
  <c r="D1459" i="1"/>
  <c r="C1460" i="1"/>
  <c r="D1460" i="1"/>
  <c r="G1460" i="1" s="1"/>
  <c r="J1460" i="1"/>
  <c r="C1462" i="1"/>
  <c r="D1462" i="1"/>
  <c r="H1462" i="1"/>
  <c r="C1463" i="1"/>
  <c r="D1463" i="1"/>
  <c r="G1463" i="1" s="1"/>
  <c r="C1464" i="1"/>
  <c r="D1464" i="1"/>
  <c r="H1464" i="1"/>
  <c r="C1465" i="1"/>
  <c r="D1465" i="1"/>
  <c r="G1465" i="1" s="1"/>
  <c r="C1466" i="1"/>
  <c r="D1466" i="1"/>
  <c r="H1466" i="1"/>
  <c r="C1467" i="1"/>
  <c r="D1467" i="1"/>
  <c r="G1467" i="1" s="1"/>
  <c r="C1468" i="1"/>
  <c r="D1468" i="1"/>
  <c r="H1468" i="1"/>
  <c r="C1471" i="1"/>
  <c r="D1471" i="1"/>
  <c r="G1471" i="1" s="1"/>
  <c r="C1472" i="1"/>
  <c r="D1472" i="1"/>
  <c r="H1472" i="1"/>
  <c r="C1473" i="1"/>
  <c r="D1473" i="1"/>
  <c r="G1473" i="1" s="1"/>
  <c r="C1474" i="1"/>
  <c r="D1474" i="1"/>
  <c r="H1474" i="1"/>
  <c r="C1476" i="1"/>
  <c r="H1476" i="1" s="1"/>
  <c r="D1476" i="1"/>
  <c r="G1476" i="1"/>
  <c r="J1476" i="1"/>
  <c r="C1477" i="1"/>
  <c r="H1477" i="1" s="1"/>
  <c r="D1477" i="1"/>
  <c r="C1478" i="1"/>
  <c r="H1478" i="1" s="1"/>
  <c r="D1478" i="1"/>
  <c r="G1478" i="1"/>
  <c r="J1478" i="1"/>
  <c r="C1479" i="1"/>
  <c r="H1479" i="1" s="1"/>
  <c r="D1479" i="1"/>
  <c r="C1480" i="1"/>
  <c r="G1480" i="1"/>
  <c r="H1480" i="1"/>
  <c r="C1482" i="1"/>
  <c r="C1484" i="1"/>
  <c r="G1484" i="1"/>
  <c r="H1484" i="1"/>
  <c r="C1485" i="1"/>
  <c r="G1485" i="1"/>
  <c r="H1485" i="1"/>
  <c r="C1486" i="1"/>
  <c r="C1487" i="1"/>
  <c r="H1487" i="1" s="1"/>
  <c r="G1487" i="1"/>
  <c r="C1488" i="1"/>
  <c r="G1488" i="1"/>
  <c r="H1488" i="1"/>
  <c r="C1489" i="1"/>
  <c r="G1489" i="1"/>
  <c r="H1489" i="1"/>
  <c r="C1490" i="1"/>
  <c r="C1491" i="1"/>
  <c r="H1491" i="1" s="1"/>
  <c r="C1492" i="1"/>
  <c r="G1492" i="1"/>
  <c r="H1492" i="1"/>
  <c r="C1494" i="1"/>
  <c r="C1495" i="1"/>
  <c r="H1495" i="1" s="1"/>
  <c r="G1495" i="1"/>
  <c r="C1496" i="1"/>
  <c r="G1496" i="1"/>
  <c r="H1496" i="1"/>
  <c r="C1497" i="1"/>
  <c r="G1497" i="1"/>
  <c r="H1497" i="1"/>
  <c r="C1498" i="1"/>
  <c r="C1500" i="1"/>
  <c r="G1500" i="1"/>
  <c r="H1500" i="1"/>
  <c r="C1502" i="1"/>
  <c r="C1503" i="1"/>
  <c r="H1503" i="1" s="1"/>
  <c r="G1503" i="1"/>
  <c r="C1504" i="1"/>
  <c r="G1504" i="1"/>
  <c r="H1504" i="1"/>
  <c r="C1505" i="1"/>
  <c r="G1505" i="1"/>
  <c r="H1505" i="1"/>
  <c r="C1506" i="1"/>
  <c r="C1507" i="1"/>
  <c r="H1507" i="1" s="1"/>
  <c r="C1508" i="1"/>
  <c r="G1508" i="1"/>
  <c r="H1508" i="1"/>
  <c r="C1509" i="1"/>
  <c r="G1509" i="1"/>
  <c r="H1509" i="1"/>
  <c r="C1510" i="1"/>
  <c r="C1512" i="1"/>
  <c r="G1512" i="1"/>
  <c r="H1512" i="1"/>
  <c r="C1513" i="1"/>
  <c r="G1513" i="1"/>
  <c r="H1513" i="1"/>
  <c r="C1514" i="1"/>
  <c r="C1515" i="1"/>
  <c r="H1515" i="1" s="1"/>
  <c r="G1515" i="1"/>
  <c r="C1516" i="1"/>
  <c r="G1516" i="1"/>
  <c r="H1516" i="1"/>
  <c r="C1520" i="1"/>
  <c r="G1520" i="1"/>
  <c r="H1520" i="1"/>
  <c r="C1521" i="1"/>
  <c r="G1521" i="1"/>
  <c r="H1521" i="1"/>
  <c r="C1522" i="1"/>
  <c r="C1523" i="1"/>
  <c r="H1523" i="1" s="1"/>
  <c r="G1523" i="1"/>
  <c r="C1526" i="1"/>
  <c r="C1527" i="1"/>
  <c r="H1527" i="1" s="1"/>
  <c r="C1528" i="1"/>
  <c r="G1528" i="1"/>
  <c r="H1528" i="1"/>
  <c r="C1529" i="1"/>
  <c r="G1529" i="1"/>
  <c r="H1529" i="1"/>
  <c r="C1531" i="1"/>
  <c r="H1531" i="1" s="1"/>
  <c r="C1532" i="1"/>
  <c r="G1532" i="1"/>
  <c r="H1532" i="1"/>
  <c r="C1533" i="1"/>
  <c r="G1533" i="1"/>
  <c r="H1533" i="1"/>
  <c r="C1534" i="1"/>
  <c r="C1536" i="1"/>
  <c r="G1536" i="1"/>
  <c r="H1536" i="1"/>
  <c r="C1537" i="1"/>
  <c r="G1537" i="1"/>
  <c r="H1537" i="1"/>
  <c r="C1538" i="1"/>
  <c r="C1539" i="1"/>
  <c r="H1539" i="1" s="1"/>
  <c r="G1539" i="1"/>
  <c r="C1541" i="1"/>
  <c r="G1541" i="1"/>
  <c r="H1541" i="1"/>
  <c r="C1542" i="1"/>
  <c r="C1543" i="1"/>
  <c r="H1543" i="1" s="1"/>
  <c r="G1543" i="1"/>
  <c r="C1544" i="1"/>
  <c r="G1544" i="1"/>
  <c r="H1544" i="1"/>
  <c r="C1546" i="1"/>
  <c r="C1547" i="1"/>
  <c r="H1547" i="1" s="1"/>
  <c r="G1547" i="1"/>
  <c r="C1548" i="1"/>
  <c r="G1548" i="1"/>
  <c r="H1548" i="1"/>
  <c r="C1549" i="1"/>
  <c r="G1549" i="1"/>
  <c r="H1549" i="1"/>
  <c r="C1551" i="1"/>
  <c r="H1551" i="1" s="1"/>
  <c r="G1551" i="1"/>
  <c r="C1552" i="1"/>
  <c r="G1552" i="1"/>
  <c r="H1552" i="1"/>
  <c r="C1553" i="1"/>
  <c r="G1553" i="1"/>
  <c r="H1553" i="1"/>
  <c r="C1554" i="1"/>
  <c r="C1556" i="1"/>
  <c r="G1556" i="1"/>
  <c r="H1556" i="1"/>
  <c r="C1557" i="1"/>
  <c r="G1557" i="1"/>
  <c r="H1557" i="1"/>
  <c r="C1558" i="1"/>
  <c r="C1559" i="1"/>
  <c r="H1559" i="1" s="1"/>
  <c r="C1561" i="1"/>
  <c r="G1561" i="1"/>
  <c r="H1561" i="1"/>
  <c r="C1562" i="1"/>
  <c r="C1563" i="1"/>
  <c r="H1563" i="1" s="1"/>
  <c r="C1564" i="1"/>
  <c r="G1564" i="1"/>
  <c r="H1564" i="1"/>
  <c r="C1566" i="1"/>
  <c r="C1567" i="1"/>
  <c r="H1567" i="1" s="1"/>
  <c r="C1568" i="1"/>
  <c r="G1568" i="1"/>
  <c r="H1568" i="1"/>
  <c r="C1569" i="1"/>
  <c r="G1569" i="1"/>
  <c r="H1569" i="1"/>
  <c r="C1571" i="1"/>
  <c r="H1571" i="1" s="1"/>
  <c r="C1572" i="1"/>
  <c r="G1572" i="1"/>
  <c r="H1572" i="1"/>
  <c r="C1573" i="1"/>
  <c r="G1573" i="1"/>
  <c r="H1573" i="1"/>
  <c r="C1574" i="1"/>
  <c r="G1574" i="1" s="1"/>
  <c r="C1575" i="1"/>
  <c r="H1575" i="1" s="1"/>
  <c r="G1575" i="1"/>
  <c r="C1577" i="1"/>
  <c r="G1577" i="1"/>
  <c r="H1577" i="1"/>
  <c r="C1578" i="1"/>
  <c r="G1578" i="1" s="1"/>
  <c r="H1578" i="1"/>
  <c r="C1579" i="1"/>
  <c r="G1579" i="1" s="1"/>
  <c r="C1580" i="1"/>
  <c r="G1580" i="1" s="1"/>
  <c r="E246" i="9"/>
  <c r="B246" i="9" s="1"/>
  <c r="F246" i="9"/>
  <c r="L246" i="9"/>
  <c r="M246" i="9"/>
  <c r="E247" i="9"/>
  <c r="L247" i="9"/>
  <c r="M247" i="9"/>
  <c r="F247" i="9" s="1"/>
  <c r="B247" i="9" s="1"/>
  <c r="E248" i="9"/>
  <c r="L248" i="9"/>
  <c r="F248" i="9" s="1"/>
  <c r="B248" i="9" s="1"/>
  <c r="M248" i="9"/>
  <c r="E249" i="9"/>
  <c r="F249" i="9"/>
  <c r="B249" i="9" s="1"/>
  <c r="L249" i="9"/>
  <c r="M249" i="9"/>
  <c r="E250" i="9"/>
  <c r="B250" i="9" s="1"/>
  <c r="F250" i="9"/>
  <c r="L250" i="9"/>
  <c r="M250" i="9"/>
  <c r="E251" i="9"/>
  <c r="L251" i="9"/>
  <c r="F251" i="9" s="1"/>
  <c r="B251" i="9" s="1"/>
  <c r="M251" i="9"/>
  <c r="E252" i="9"/>
  <c r="L252" i="9"/>
  <c r="F252" i="9" s="1"/>
  <c r="B252" i="9" s="1"/>
  <c r="M252" i="9"/>
  <c r="E253" i="9"/>
  <c r="B253" i="9" s="1"/>
  <c r="F253" i="9"/>
  <c r="L253" i="9"/>
  <c r="M253" i="9"/>
  <c r="E254" i="9"/>
  <c r="B254" i="9" s="1"/>
  <c r="F254" i="9"/>
  <c r="L254" i="9"/>
  <c r="M254" i="9"/>
  <c r="E255" i="9"/>
  <c r="L255" i="9"/>
  <c r="F255" i="9" s="1"/>
  <c r="B255" i="9" s="1"/>
  <c r="M255" i="9"/>
  <c r="E256" i="9"/>
  <c r="L256" i="9"/>
  <c r="F256" i="9" s="1"/>
  <c r="B256" i="9" s="1"/>
  <c r="M256" i="9"/>
  <c r="E257" i="9"/>
  <c r="B257" i="9" s="1"/>
  <c r="F257" i="9"/>
  <c r="L257" i="9"/>
  <c r="M257" i="9"/>
  <c r="E258" i="9"/>
  <c r="B258" i="9" s="1"/>
  <c r="F258" i="9"/>
  <c r="L258" i="9"/>
  <c r="M258" i="9"/>
  <c r="E259" i="9"/>
  <c r="L259" i="9"/>
  <c r="F259" i="9" s="1"/>
  <c r="B259" i="9" s="1"/>
  <c r="M259" i="9"/>
  <c r="E260" i="9"/>
  <c r="L260" i="9"/>
  <c r="F260" i="9" s="1"/>
  <c r="B260" i="9" s="1"/>
  <c r="M260" i="9"/>
  <c r="E261" i="9"/>
  <c r="B261" i="9" s="1"/>
  <c r="F261" i="9"/>
  <c r="L261" i="9"/>
  <c r="M261" i="9"/>
  <c r="E262" i="9"/>
  <c r="B262" i="9" s="1"/>
  <c r="F262" i="9"/>
  <c r="L262" i="9"/>
  <c r="M262" i="9"/>
  <c r="E263" i="9"/>
  <c r="L263" i="9"/>
  <c r="F263" i="9" s="1"/>
  <c r="B263" i="9" s="1"/>
  <c r="M263" i="9"/>
  <c r="E264" i="9"/>
  <c r="L264" i="9"/>
  <c r="F264" i="9" s="1"/>
  <c r="B264" i="9" s="1"/>
  <c r="M264" i="9"/>
  <c r="E265" i="9"/>
  <c r="B265" i="9" s="1"/>
  <c r="F265" i="9"/>
  <c r="L265" i="9"/>
  <c r="M265" i="9"/>
  <c r="E266" i="9"/>
  <c r="B266" i="9" s="1"/>
  <c r="F266" i="9"/>
  <c r="L266" i="9"/>
  <c r="M266" i="9"/>
  <c r="E267" i="9"/>
  <c r="L267" i="9"/>
  <c r="F267" i="9" s="1"/>
  <c r="B267" i="9" s="1"/>
  <c r="M267" i="9"/>
  <c r="E268" i="9"/>
  <c r="L268" i="9"/>
  <c r="F268" i="9" s="1"/>
  <c r="B268" i="9" s="1"/>
  <c r="M268" i="9"/>
  <c r="E269" i="9"/>
  <c r="B269" i="9" s="1"/>
  <c r="F269" i="9"/>
  <c r="L269" i="9"/>
  <c r="M269" i="9"/>
  <c r="E270" i="9"/>
  <c r="B270" i="9" s="1"/>
  <c r="F270" i="9"/>
  <c r="L270" i="9"/>
  <c r="M270" i="9"/>
  <c r="E271" i="9"/>
  <c r="L271" i="9"/>
  <c r="F271" i="9" s="1"/>
  <c r="B271" i="9" s="1"/>
  <c r="M271" i="9"/>
  <c r="E272" i="9"/>
  <c r="F273" i="9"/>
  <c r="H273" i="9"/>
  <c r="E273" i="9" s="1"/>
  <c r="B273" i="9" s="1"/>
  <c r="I273" i="9"/>
  <c r="F274" i="9"/>
  <c r="H275" i="9"/>
  <c r="L275" i="9"/>
  <c r="F275" i="9" s="1"/>
  <c r="F276" i="9"/>
  <c r="F278" i="9"/>
  <c r="F279" i="9"/>
  <c r="F280" i="9"/>
  <c r="F281" i="9"/>
  <c r="F282" i="9"/>
  <c r="G282" i="9"/>
  <c r="E282" i="9" s="1"/>
  <c r="B282" i="9" s="1"/>
  <c r="H282" i="9"/>
  <c r="F283" i="9"/>
  <c r="G283" i="9"/>
  <c r="E283" i="9" s="1"/>
  <c r="B283" i="9" s="1"/>
  <c r="H283" i="9"/>
  <c r="E284" i="9"/>
  <c r="B284" i="9" s="1"/>
  <c r="F284" i="9"/>
  <c r="G284" i="9"/>
  <c r="H284" i="9"/>
  <c r="F285" i="9"/>
  <c r="F286" i="9"/>
  <c r="G286" i="9"/>
  <c r="H286" i="9"/>
  <c r="E286" i="9" s="1"/>
  <c r="B286" i="9" s="1"/>
  <c r="F287" i="9"/>
  <c r="G287" i="9"/>
  <c r="E287" i="9" s="1"/>
  <c r="B287" i="9" s="1"/>
  <c r="H287" i="9"/>
  <c r="F288" i="9"/>
  <c r="G288" i="9"/>
  <c r="E288" i="9" s="1"/>
  <c r="B288" i="9" s="1"/>
  <c r="H288" i="9"/>
  <c r="E289" i="9"/>
  <c r="B289" i="9" s="1"/>
  <c r="F289" i="9"/>
  <c r="G289" i="9"/>
  <c r="H289" i="9"/>
  <c r="F290" i="9"/>
  <c r="F291" i="9"/>
  <c r="F292" i="9"/>
  <c r="G292" i="9"/>
  <c r="H292" i="9"/>
  <c r="F293" i="9"/>
  <c r="G293" i="9"/>
  <c r="E293" i="9" s="1"/>
  <c r="B293" i="9" s="1"/>
  <c r="H293" i="9"/>
  <c r="F294" i="9"/>
  <c r="G294" i="9"/>
  <c r="H294" i="9"/>
  <c r="F295" i="9"/>
  <c r="G295" i="9"/>
  <c r="E295" i="9" s="1"/>
  <c r="B295" i="9" s="1"/>
  <c r="H295" i="9"/>
  <c r="F296" i="9"/>
  <c r="G296" i="9"/>
  <c r="H296" i="9"/>
  <c r="E297" i="9"/>
  <c r="B297" i="9" s="1"/>
  <c r="F297" i="9"/>
  <c r="G297" i="9"/>
  <c r="H297" i="9"/>
  <c r="F298" i="9"/>
  <c r="G298" i="9"/>
  <c r="H298" i="9"/>
  <c r="E298" i="9" s="1"/>
  <c r="B298" i="9" s="1"/>
  <c r="F299" i="9"/>
  <c r="G299" i="9"/>
  <c r="E299" i="9" s="1"/>
  <c r="B299" i="9" s="1"/>
  <c r="H299" i="9"/>
  <c r="F300" i="9"/>
  <c r="G300" i="9"/>
  <c r="E300" i="9" s="1"/>
  <c r="B300" i="9" s="1"/>
  <c r="H300" i="9"/>
  <c r="F301" i="9"/>
  <c r="G301" i="9"/>
  <c r="E301" i="9" s="1"/>
  <c r="B301" i="9" s="1"/>
  <c r="H301" i="9"/>
  <c r="F302" i="9"/>
  <c r="G302" i="9"/>
  <c r="H302" i="9"/>
  <c r="E302" i="9" s="1"/>
  <c r="B302" i="9" s="1"/>
  <c r="F303" i="9"/>
  <c r="G303" i="9"/>
  <c r="H303" i="9"/>
  <c r="F304" i="9"/>
  <c r="G304" i="9"/>
  <c r="E304" i="9" s="1"/>
  <c r="B304" i="9" s="1"/>
  <c r="H304" i="9"/>
  <c r="E305" i="9"/>
  <c r="B305" i="9" s="1"/>
  <c r="F305" i="9"/>
  <c r="G305" i="9"/>
  <c r="H305" i="9"/>
  <c r="F306" i="9"/>
  <c r="G306" i="9"/>
  <c r="H306" i="9"/>
  <c r="E306" i="9" s="1"/>
  <c r="B306" i="9" s="1"/>
  <c r="F307" i="9"/>
  <c r="G307" i="9"/>
  <c r="E307" i="9" s="1"/>
  <c r="B307" i="9" s="1"/>
  <c r="H307" i="9"/>
  <c r="F308" i="9"/>
  <c r="F309" i="9"/>
  <c r="G309" i="9"/>
  <c r="H309" i="9"/>
  <c r="E309" i="9" s="1"/>
  <c r="B309" i="9" s="1"/>
  <c r="F310" i="9"/>
  <c r="F311" i="9"/>
  <c r="F313" i="9"/>
  <c r="F312" i="9" s="1"/>
  <c r="F314" i="9"/>
  <c r="F316" i="9"/>
  <c r="F315" i="9" s="1"/>
  <c r="F318" i="9"/>
  <c r="F317" i="9" s="1"/>
  <c r="J1448" i="9"/>
  <c r="L1448" i="9"/>
  <c r="M245" i="9"/>
  <c r="L245" i="9"/>
  <c r="F245" i="9" s="1"/>
  <c r="B245" i="9" s="1"/>
  <c r="E245" i="9"/>
  <c r="M244" i="9"/>
  <c r="L244" i="9"/>
  <c r="F244" i="9" s="1"/>
  <c r="E244" i="9"/>
  <c r="B244" i="9"/>
  <c r="M243" i="9"/>
  <c r="F243" i="9" s="1"/>
  <c r="L243" i="9"/>
  <c r="E243" i="9"/>
  <c r="B243" i="9" s="1"/>
  <c r="M242" i="9"/>
  <c r="L242" i="9"/>
  <c r="F242" i="9"/>
  <c r="E242" i="9"/>
  <c r="M241" i="9"/>
  <c r="L241" i="9"/>
  <c r="F241" i="9"/>
  <c r="B241" i="9" s="1"/>
  <c r="E241" i="9"/>
  <c r="M240" i="9"/>
  <c r="L240" i="9"/>
  <c r="E240" i="9"/>
  <c r="M239" i="9"/>
  <c r="F239" i="9" s="1"/>
  <c r="L239" i="9"/>
  <c r="E239" i="9"/>
  <c r="M238" i="9"/>
  <c r="L238" i="9"/>
  <c r="F238" i="9"/>
  <c r="E238" i="9"/>
  <c r="M237" i="9"/>
  <c r="L237" i="9"/>
  <c r="F237" i="9"/>
  <c r="B237" i="9" s="1"/>
  <c r="E237" i="9"/>
  <c r="M236" i="9"/>
  <c r="L236" i="9"/>
  <c r="E236" i="9"/>
  <c r="M235" i="9"/>
  <c r="F235" i="9" s="1"/>
  <c r="L235" i="9"/>
  <c r="E235" i="9"/>
  <c r="M234" i="9"/>
  <c r="L234" i="9"/>
  <c r="F234" i="9"/>
  <c r="E234" i="9"/>
  <c r="M233" i="9"/>
  <c r="L233" i="9"/>
  <c r="F233" i="9"/>
  <c r="B233" i="9" s="1"/>
  <c r="E233" i="9"/>
  <c r="M232" i="9"/>
  <c r="L232" i="9"/>
  <c r="E232" i="9"/>
  <c r="M231" i="9"/>
  <c r="F231" i="9" s="1"/>
  <c r="L231" i="9"/>
  <c r="E231" i="9"/>
  <c r="M230" i="9"/>
  <c r="L230" i="9"/>
  <c r="F230" i="9"/>
  <c r="E230" i="9"/>
  <c r="M229" i="9"/>
  <c r="L229" i="9"/>
  <c r="F229" i="9"/>
  <c r="B229" i="9" s="1"/>
  <c r="E229" i="9"/>
  <c r="M228" i="9"/>
  <c r="L228" i="9"/>
  <c r="E228" i="9"/>
  <c r="M227" i="9"/>
  <c r="F227" i="9" s="1"/>
  <c r="L227" i="9"/>
  <c r="E227" i="9"/>
  <c r="M226" i="9"/>
  <c r="L226" i="9"/>
  <c r="F226" i="9"/>
  <c r="E226" i="9"/>
  <c r="M225" i="9"/>
  <c r="L225" i="9"/>
  <c r="F225" i="9"/>
  <c r="B225" i="9" s="1"/>
  <c r="E225" i="9"/>
  <c r="M224" i="9"/>
  <c r="L224" i="9"/>
  <c r="E224" i="9"/>
  <c r="M223" i="9"/>
  <c r="L223" i="9"/>
  <c r="E223" i="9"/>
  <c r="M222" i="9"/>
  <c r="F222" i="9" s="1"/>
  <c r="B222" i="9" s="1"/>
  <c r="L222" i="9"/>
  <c r="E222" i="9"/>
  <c r="M221" i="9"/>
  <c r="L221" i="9"/>
  <c r="F221" i="9" s="1"/>
  <c r="E221" i="9"/>
  <c r="M220" i="9"/>
  <c r="L220" i="9"/>
  <c r="F220" i="9"/>
  <c r="B220" i="9" s="1"/>
  <c r="E220" i="9"/>
  <c r="M219" i="9"/>
  <c r="L219" i="9"/>
  <c r="F219" i="9" s="1"/>
  <c r="E219" i="9"/>
  <c r="M218" i="9"/>
  <c r="F218" i="9" s="1"/>
  <c r="L218" i="9"/>
  <c r="E218" i="9"/>
  <c r="B218" i="9"/>
  <c r="M217" i="9"/>
  <c r="L217" i="9"/>
  <c r="F217" i="9" s="1"/>
  <c r="E217" i="9"/>
  <c r="M216" i="9"/>
  <c r="L216" i="9"/>
  <c r="F216" i="9"/>
  <c r="B216" i="9" s="1"/>
  <c r="E216" i="9"/>
  <c r="M215" i="9"/>
  <c r="L215" i="9"/>
  <c r="F215" i="9" s="1"/>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E158" i="9" s="1"/>
  <c r="B158" i="9" s="1"/>
  <c r="F158" i="9"/>
  <c r="H157" i="9"/>
  <c r="G157" i="9"/>
  <c r="F157" i="9"/>
  <c r="H156" i="9"/>
  <c r="G156" i="9"/>
  <c r="F156" i="9"/>
  <c r="E156" i="9"/>
  <c r="B156" i="9" s="1"/>
  <c r="H155" i="9"/>
  <c r="E155" i="9" s="1"/>
  <c r="G155" i="9"/>
  <c r="F155" i="9"/>
  <c r="H154" i="9"/>
  <c r="G154" i="9"/>
  <c r="E154" i="9" s="1"/>
  <c r="B154" i="9" s="1"/>
  <c r="F154" i="9"/>
  <c r="H153" i="9"/>
  <c r="G153" i="9"/>
  <c r="F153" i="9"/>
  <c r="H152" i="9"/>
  <c r="G152" i="9"/>
  <c r="F152" i="9"/>
  <c r="E152" i="9"/>
  <c r="B152" i="9" s="1"/>
  <c r="H151" i="9"/>
  <c r="E151" i="9" s="1"/>
  <c r="B151" i="9" s="1"/>
  <c r="G151" i="9"/>
  <c r="F151" i="9"/>
  <c r="H150" i="9"/>
  <c r="G150" i="9"/>
  <c r="E150" i="9" s="1"/>
  <c r="B150" i="9" s="1"/>
  <c r="F150" i="9"/>
  <c r="H149" i="9"/>
  <c r="G149" i="9"/>
  <c r="F149" i="9"/>
  <c r="H148" i="9"/>
  <c r="G148" i="9"/>
  <c r="F148" i="9"/>
  <c r="E148" i="9"/>
  <c r="B148" i="9" s="1"/>
  <c r="H147" i="9"/>
  <c r="E147" i="9" s="1"/>
  <c r="G147" i="9"/>
  <c r="F147" i="9"/>
  <c r="H146" i="9"/>
  <c r="G146" i="9"/>
  <c r="E146" i="9" s="1"/>
  <c r="B146" i="9" s="1"/>
  <c r="F146" i="9"/>
  <c r="H145" i="9"/>
  <c r="G145" i="9"/>
  <c r="F145" i="9"/>
  <c r="H144" i="9"/>
  <c r="G144" i="9"/>
  <c r="F144" i="9"/>
  <c r="E144" i="9"/>
  <c r="B144" i="9" s="1"/>
  <c r="F143" i="9"/>
  <c r="H142" i="9"/>
  <c r="G142" i="9"/>
  <c r="E142" i="9" s="1"/>
  <c r="B142" i="9" s="1"/>
  <c r="F142" i="9"/>
  <c r="H141" i="9"/>
  <c r="G141" i="9"/>
  <c r="F141" i="9"/>
  <c r="H140" i="9"/>
  <c r="G140" i="9"/>
  <c r="F140" i="9"/>
  <c r="E140" i="9"/>
  <c r="B140" i="9" s="1"/>
  <c r="H139" i="9"/>
  <c r="E139" i="9" s="1"/>
  <c r="B139" i="9" s="1"/>
  <c r="G139" i="9"/>
  <c r="F139" i="9"/>
  <c r="H138" i="9"/>
  <c r="G138" i="9"/>
  <c r="E138" i="9" s="1"/>
  <c r="B138" i="9" s="1"/>
  <c r="F138" i="9"/>
  <c r="H137" i="9"/>
  <c r="G137" i="9"/>
  <c r="F137" i="9"/>
  <c r="H136" i="9"/>
  <c r="G136" i="9"/>
  <c r="F136" i="9"/>
  <c r="E136" i="9"/>
  <c r="B136" i="9" s="1"/>
  <c r="H135" i="9"/>
  <c r="E135" i="9" s="1"/>
  <c r="G135" i="9"/>
  <c r="F135" i="9"/>
  <c r="H134" i="9"/>
  <c r="G134" i="9"/>
  <c r="E134" i="9" s="1"/>
  <c r="B134" i="9" s="1"/>
  <c r="F134" i="9"/>
  <c r="H133" i="9"/>
  <c r="G133" i="9"/>
  <c r="F133" i="9"/>
  <c r="H132" i="9"/>
  <c r="G132" i="9"/>
  <c r="F132" i="9"/>
  <c r="E132" i="9"/>
  <c r="B132" i="9" s="1"/>
  <c r="H131" i="9"/>
  <c r="E131" i="9" s="1"/>
  <c r="B131" i="9" s="1"/>
  <c r="G131" i="9"/>
  <c r="F131" i="9"/>
  <c r="H130" i="9"/>
  <c r="G130" i="9"/>
  <c r="E130" i="9" s="1"/>
  <c r="B130" i="9" s="1"/>
  <c r="F130" i="9"/>
  <c r="H129" i="9"/>
  <c r="G129" i="9"/>
  <c r="F129" i="9"/>
  <c r="H128" i="9"/>
  <c r="G128" i="9"/>
  <c r="F128" i="9"/>
  <c r="E128" i="9"/>
  <c r="B128" i="9" s="1"/>
  <c r="H127" i="9"/>
  <c r="E127" i="9" s="1"/>
  <c r="G127" i="9"/>
  <c r="F127" i="9"/>
  <c r="H126" i="9"/>
  <c r="G126" i="9"/>
  <c r="E126" i="9" s="1"/>
  <c r="B126" i="9" s="1"/>
  <c r="F126" i="9"/>
  <c r="H125" i="9"/>
  <c r="G125" i="9"/>
  <c r="F125" i="9"/>
  <c r="H124" i="9"/>
  <c r="G124" i="9"/>
  <c r="F124" i="9"/>
  <c r="E124" i="9"/>
  <c r="B124" i="9" s="1"/>
  <c r="H123" i="9"/>
  <c r="E123" i="9" s="1"/>
  <c r="B123" i="9" s="1"/>
  <c r="G123" i="9"/>
  <c r="F123" i="9"/>
  <c r="H122" i="9"/>
  <c r="G122" i="9"/>
  <c r="E122" i="9" s="1"/>
  <c r="B122" i="9" s="1"/>
  <c r="F122" i="9"/>
  <c r="H121" i="9"/>
  <c r="G121" i="9"/>
  <c r="F121" i="9"/>
  <c r="H120" i="9"/>
  <c r="G120" i="9"/>
  <c r="F120" i="9"/>
  <c r="E120" i="9"/>
  <c r="B120" i="9" s="1"/>
  <c r="H119" i="9"/>
  <c r="E119" i="9" s="1"/>
  <c r="G119" i="9"/>
  <c r="F119" i="9"/>
  <c r="H118" i="9"/>
  <c r="G118" i="9"/>
  <c r="E118" i="9" s="1"/>
  <c r="B118" i="9" s="1"/>
  <c r="F118" i="9"/>
  <c r="H117" i="9"/>
  <c r="G117" i="9"/>
  <c r="F117" i="9"/>
  <c r="H116" i="9"/>
  <c r="G116" i="9"/>
  <c r="F116" i="9"/>
  <c r="E116" i="9"/>
  <c r="B116" i="9" s="1"/>
  <c r="H115" i="9"/>
  <c r="E115" i="9" s="1"/>
  <c r="B115" i="9" s="1"/>
  <c r="G115" i="9"/>
  <c r="F115" i="9"/>
  <c r="H114" i="9"/>
  <c r="G114" i="9"/>
  <c r="E114" i="9" s="1"/>
  <c r="B114" i="9" s="1"/>
  <c r="F114" i="9"/>
  <c r="H113" i="9"/>
  <c r="G113" i="9"/>
  <c r="F113" i="9"/>
  <c r="H112" i="9"/>
  <c r="G112" i="9"/>
  <c r="F112" i="9"/>
  <c r="E112" i="9"/>
  <c r="B112" i="9" s="1"/>
  <c r="H111" i="9"/>
  <c r="E111" i="9" s="1"/>
  <c r="G111" i="9"/>
  <c r="F111" i="9"/>
  <c r="H110" i="9"/>
  <c r="G110" i="9"/>
  <c r="E110" i="9" s="1"/>
  <c r="B110" i="9" s="1"/>
  <c r="F110" i="9"/>
  <c r="H109" i="9"/>
  <c r="G109" i="9"/>
  <c r="F109" i="9"/>
  <c r="H108" i="9"/>
  <c r="G108" i="9"/>
  <c r="E108" i="9" s="1"/>
  <c r="B108" i="9" s="1"/>
  <c r="F108" i="9"/>
  <c r="H107" i="9"/>
  <c r="E107" i="9" s="1"/>
  <c r="B107" i="9" s="1"/>
  <c r="G107" i="9"/>
  <c r="F107" i="9"/>
  <c r="H106" i="9"/>
  <c r="G106" i="9"/>
  <c r="E106" i="9" s="1"/>
  <c r="B106" i="9" s="1"/>
  <c r="F106" i="9"/>
  <c r="H105" i="9"/>
  <c r="G105" i="9"/>
  <c r="F105" i="9"/>
  <c r="H104" i="9"/>
  <c r="G104" i="9"/>
  <c r="E104" i="9" s="1"/>
  <c r="B104" i="9" s="1"/>
  <c r="F104" i="9"/>
  <c r="H103" i="9"/>
  <c r="E103" i="9" s="1"/>
  <c r="B103" i="9" s="1"/>
  <c r="G103" i="9"/>
  <c r="F103" i="9"/>
  <c r="H102" i="9"/>
  <c r="G102" i="9"/>
  <c r="E102" i="9" s="1"/>
  <c r="B102" i="9" s="1"/>
  <c r="F102" i="9"/>
  <c r="H101" i="9"/>
  <c r="G101" i="9"/>
  <c r="F101" i="9"/>
  <c r="H100" i="9"/>
  <c r="G100" i="9"/>
  <c r="E100" i="9" s="1"/>
  <c r="B100" i="9" s="1"/>
  <c r="F100" i="9"/>
  <c r="H99" i="9"/>
  <c r="E99" i="9" s="1"/>
  <c r="B99" i="9" s="1"/>
  <c r="G99" i="9"/>
  <c r="F99" i="9"/>
  <c r="H98" i="9"/>
  <c r="G98" i="9"/>
  <c r="E98" i="9" s="1"/>
  <c r="B98" i="9" s="1"/>
  <c r="F98" i="9"/>
  <c r="H97" i="9"/>
  <c r="E97" i="9" s="1"/>
  <c r="B97" i="9" s="1"/>
  <c r="G97" i="9"/>
  <c r="F97" i="9"/>
  <c r="H96" i="9"/>
  <c r="G96" i="9"/>
  <c r="E96" i="9" s="1"/>
  <c r="B96" i="9" s="1"/>
  <c r="F96" i="9"/>
  <c r="H95" i="9"/>
  <c r="G95" i="9"/>
  <c r="F95" i="9"/>
  <c r="H94" i="9"/>
  <c r="G94" i="9"/>
  <c r="E94" i="9" s="1"/>
  <c r="B94" i="9" s="1"/>
  <c r="F94" i="9"/>
  <c r="H93" i="9"/>
  <c r="G93" i="9"/>
  <c r="F93" i="9"/>
  <c r="H92" i="9"/>
  <c r="G92" i="9"/>
  <c r="E92" i="9" s="1"/>
  <c r="B92" i="9" s="1"/>
  <c r="F92" i="9"/>
  <c r="H91" i="9"/>
  <c r="E91" i="9" s="1"/>
  <c r="B91" i="9" s="1"/>
  <c r="G91" i="9"/>
  <c r="F91" i="9"/>
  <c r="H90" i="9"/>
  <c r="G90" i="9"/>
  <c r="E90" i="9" s="1"/>
  <c r="B90" i="9" s="1"/>
  <c r="F90" i="9"/>
  <c r="H89" i="9"/>
  <c r="G89" i="9"/>
  <c r="F89" i="9"/>
  <c r="H88" i="9"/>
  <c r="G88" i="9"/>
  <c r="E88" i="9" s="1"/>
  <c r="B88" i="9" s="1"/>
  <c r="F88" i="9"/>
  <c r="H87" i="9"/>
  <c r="E87" i="9" s="1"/>
  <c r="B87" i="9" s="1"/>
  <c r="G87" i="9"/>
  <c r="F87" i="9"/>
  <c r="H86" i="9"/>
  <c r="G86" i="9"/>
  <c r="F86" i="9"/>
  <c r="E86" i="9"/>
  <c r="B86" i="9" s="1"/>
  <c r="H85" i="9"/>
  <c r="E85" i="9" s="1"/>
  <c r="B85" i="9" s="1"/>
  <c r="G85" i="9"/>
  <c r="F85" i="9"/>
  <c r="H84" i="9"/>
  <c r="G84" i="9"/>
  <c r="E84" i="9" s="1"/>
  <c r="B84" i="9" s="1"/>
  <c r="F84" i="9"/>
  <c r="H83" i="9"/>
  <c r="G83" i="9"/>
  <c r="E83" i="9" s="1"/>
  <c r="B83" i="9" s="1"/>
  <c r="F83" i="9"/>
  <c r="H82" i="9"/>
  <c r="G82" i="9"/>
  <c r="F82" i="9"/>
  <c r="E82" i="9"/>
  <c r="B82" i="9" s="1"/>
  <c r="H81" i="9"/>
  <c r="E81" i="9" s="1"/>
  <c r="B81" i="9" s="1"/>
  <c r="G81" i="9"/>
  <c r="F81" i="9"/>
  <c r="H80" i="9"/>
  <c r="G80" i="9"/>
  <c r="E80" i="9" s="1"/>
  <c r="B80" i="9" s="1"/>
  <c r="F80" i="9"/>
  <c r="H79" i="9"/>
  <c r="G79" i="9"/>
  <c r="E79" i="9" s="1"/>
  <c r="B79" i="9" s="1"/>
  <c r="F79" i="9"/>
  <c r="H78" i="9"/>
  <c r="G78" i="9"/>
  <c r="F78" i="9"/>
  <c r="E78" i="9"/>
  <c r="B78" i="9" s="1"/>
  <c r="H77" i="9"/>
  <c r="E77" i="9" s="1"/>
  <c r="B77" i="9" s="1"/>
  <c r="G77" i="9"/>
  <c r="F77" i="9"/>
  <c r="H76" i="9"/>
  <c r="G76" i="9"/>
  <c r="E76" i="9" s="1"/>
  <c r="B76" i="9" s="1"/>
  <c r="F76" i="9"/>
  <c r="H75" i="9"/>
  <c r="G75" i="9"/>
  <c r="E75" i="9" s="1"/>
  <c r="B75" i="9" s="1"/>
  <c r="F75" i="9"/>
  <c r="H74" i="9"/>
  <c r="G74" i="9"/>
  <c r="F74" i="9"/>
  <c r="E74" i="9"/>
  <c r="B74" i="9" s="1"/>
  <c r="H73" i="9"/>
  <c r="E73" i="9" s="1"/>
  <c r="B73" i="9" s="1"/>
  <c r="G73" i="9"/>
  <c r="F73" i="9"/>
  <c r="H72" i="9"/>
  <c r="G72" i="9"/>
  <c r="E72" i="9" s="1"/>
  <c r="B72" i="9" s="1"/>
  <c r="F72" i="9"/>
  <c r="H71" i="9"/>
  <c r="G71" i="9"/>
  <c r="E71" i="9" s="1"/>
  <c r="B71" i="9" s="1"/>
  <c r="F71" i="9"/>
  <c r="H70" i="9"/>
  <c r="G70" i="9"/>
  <c r="F70" i="9"/>
  <c r="E70" i="9"/>
  <c r="B70" i="9" s="1"/>
  <c r="H69" i="9"/>
  <c r="E69" i="9" s="1"/>
  <c r="B69" i="9" s="1"/>
  <c r="G69" i="9"/>
  <c r="F69" i="9"/>
  <c r="H68" i="9"/>
  <c r="G68" i="9"/>
  <c r="E68" i="9" s="1"/>
  <c r="B68" i="9" s="1"/>
  <c r="F68" i="9"/>
  <c r="H67" i="9"/>
  <c r="G67" i="9"/>
  <c r="E67" i="9" s="1"/>
  <c r="B67" i="9" s="1"/>
  <c r="F67" i="9"/>
  <c r="H66" i="9"/>
  <c r="G66" i="9"/>
  <c r="F66" i="9"/>
  <c r="E66" i="9"/>
  <c r="B66" i="9" s="1"/>
  <c r="H65" i="9"/>
  <c r="E65" i="9" s="1"/>
  <c r="B65" i="9" s="1"/>
  <c r="G65" i="9"/>
  <c r="F65" i="9"/>
  <c r="H64" i="9"/>
  <c r="G64" i="9"/>
  <c r="E64" i="9" s="1"/>
  <c r="B64" i="9" s="1"/>
  <c r="F64" i="9"/>
  <c r="H63" i="9"/>
  <c r="G63" i="9"/>
  <c r="E63" i="9" s="1"/>
  <c r="B63" i="9" s="1"/>
  <c r="F63" i="9"/>
  <c r="H62" i="9"/>
  <c r="G62" i="9"/>
  <c r="F62" i="9"/>
  <c r="E62" i="9"/>
  <c r="B62" i="9" s="1"/>
  <c r="H61" i="9"/>
  <c r="E61" i="9" s="1"/>
  <c r="B61" i="9" s="1"/>
  <c r="G61" i="9"/>
  <c r="F61" i="9"/>
  <c r="H60" i="9"/>
  <c r="G60" i="9"/>
  <c r="E60" i="9" s="1"/>
  <c r="B60" i="9" s="1"/>
  <c r="F60" i="9"/>
  <c r="H59" i="9"/>
  <c r="G59" i="9"/>
  <c r="E59" i="9" s="1"/>
  <c r="B59" i="9" s="1"/>
  <c r="F59" i="9"/>
  <c r="H58" i="9"/>
  <c r="G58" i="9"/>
  <c r="F58" i="9"/>
  <c r="E58" i="9"/>
  <c r="B58" i="9" s="1"/>
  <c r="H57" i="9"/>
  <c r="E57" i="9" s="1"/>
  <c r="B57" i="9" s="1"/>
  <c r="G57" i="9"/>
  <c r="F57" i="9"/>
  <c r="H56" i="9"/>
  <c r="G56" i="9"/>
  <c r="E56" i="9" s="1"/>
  <c r="B56" i="9" s="1"/>
  <c r="F56" i="9"/>
  <c r="H55" i="9"/>
  <c r="G55" i="9"/>
  <c r="E55" i="9" s="1"/>
  <c r="B55" i="9" s="1"/>
  <c r="F55" i="9"/>
  <c r="H54" i="9"/>
  <c r="G54" i="9"/>
  <c r="F54" i="9"/>
  <c r="E54" i="9"/>
  <c r="B54" i="9" s="1"/>
  <c r="H53" i="9"/>
  <c r="E53" i="9" s="1"/>
  <c r="B53" i="9" s="1"/>
  <c r="G53" i="9"/>
  <c r="F53" i="9"/>
  <c r="H52" i="9"/>
  <c r="G52" i="9"/>
  <c r="E52" i="9" s="1"/>
  <c r="B52" i="9" s="1"/>
  <c r="F52" i="9"/>
  <c r="H51" i="9"/>
  <c r="G51" i="9"/>
  <c r="E51" i="9" s="1"/>
  <c r="B51" i="9" s="1"/>
  <c r="F51" i="9"/>
  <c r="H50" i="9"/>
  <c r="G50" i="9"/>
  <c r="F50" i="9"/>
  <c r="E50" i="9"/>
  <c r="B50" i="9" s="1"/>
  <c r="H49" i="9"/>
  <c r="E49" i="9" s="1"/>
  <c r="B49" i="9" s="1"/>
  <c r="G49" i="9"/>
  <c r="F49" i="9"/>
  <c r="H48" i="9"/>
  <c r="G48" i="9"/>
  <c r="E48" i="9" s="1"/>
  <c r="B48" i="9" s="1"/>
  <c r="F48" i="9"/>
  <c r="H47" i="9"/>
  <c r="G47" i="9"/>
  <c r="E47" i="9" s="1"/>
  <c r="B47" i="9" s="1"/>
  <c r="F47" i="9"/>
  <c r="H46" i="9"/>
  <c r="G46" i="9"/>
  <c r="F46" i="9"/>
  <c r="E46" i="9"/>
  <c r="B46" i="9" s="1"/>
  <c r="H45" i="9"/>
  <c r="E45" i="9" s="1"/>
  <c r="B45" i="9" s="1"/>
  <c r="G45" i="9"/>
  <c r="F45" i="9"/>
  <c r="H44" i="9"/>
  <c r="G44" i="9"/>
  <c r="E44" i="9" s="1"/>
  <c r="B44" i="9" s="1"/>
  <c r="F44" i="9"/>
  <c r="H43" i="9"/>
  <c r="G43" i="9"/>
  <c r="E43" i="9" s="1"/>
  <c r="B43" i="9" s="1"/>
  <c r="F43" i="9"/>
  <c r="H42" i="9"/>
  <c r="G42" i="9"/>
  <c r="F42" i="9"/>
  <c r="E42" i="9"/>
  <c r="B42" i="9" s="1"/>
  <c r="H41" i="9"/>
  <c r="E41" i="9" s="1"/>
  <c r="B41" i="9" s="1"/>
  <c r="G41" i="9"/>
  <c r="F41" i="9"/>
  <c r="H40" i="9"/>
  <c r="G40" i="9"/>
  <c r="E40" i="9" s="1"/>
  <c r="B40" i="9" s="1"/>
  <c r="F40" i="9"/>
  <c r="H39" i="9"/>
  <c r="G39" i="9"/>
  <c r="E39" i="9" s="1"/>
  <c r="B39" i="9" s="1"/>
  <c r="F39" i="9"/>
  <c r="H38" i="9"/>
  <c r="G38" i="9"/>
  <c r="F38" i="9"/>
  <c r="E38" i="9"/>
  <c r="B38" i="9" s="1"/>
  <c r="H37" i="9"/>
  <c r="E37" i="9" s="1"/>
  <c r="B37" i="9" s="1"/>
  <c r="G37" i="9"/>
  <c r="F37" i="9"/>
  <c r="H36" i="9"/>
  <c r="G36" i="9"/>
  <c r="E36" i="9" s="1"/>
  <c r="B36" i="9" s="1"/>
  <c r="F36" i="9"/>
  <c r="H35" i="9"/>
  <c r="G35" i="9"/>
  <c r="E35" i="9" s="1"/>
  <c r="B35" i="9" s="1"/>
  <c r="F35" i="9"/>
  <c r="H34" i="9"/>
  <c r="G34" i="9"/>
  <c r="F34" i="9"/>
  <c r="E34" i="9"/>
  <c r="B34" i="9" s="1"/>
  <c r="H33" i="9"/>
  <c r="E33" i="9" s="1"/>
  <c r="B33" i="9" s="1"/>
  <c r="G33" i="9"/>
  <c r="F33" i="9"/>
  <c r="H32" i="9"/>
  <c r="G32" i="9"/>
  <c r="E32" i="9" s="1"/>
  <c r="B32" i="9" s="1"/>
  <c r="F32" i="9"/>
  <c r="H31" i="9"/>
  <c r="G31" i="9"/>
  <c r="E31" i="9" s="1"/>
  <c r="B31" i="9" s="1"/>
  <c r="F31" i="9"/>
  <c r="H30" i="9"/>
  <c r="G30" i="9"/>
  <c r="F30" i="9"/>
  <c r="E30" i="9"/>
  <c r="B30" i="9" s="1"/>
  <c r="H29" i="9"/>
  <c r="E29" i="9" s="1"/>
  <c r="B29" i="9" s="1"/>
  <c r="G29" i="9"/>
  <c r="F29" i="9"/>
  <c r="H28" i="9"/>
  <c r="G28" i="9"/>
  <c r="E28" i="9" s="1"/>
  <c r="B28" i="9" s="1"/>
  <c r="F28" i="9"/>
  <c r="H27" i="9"/>
  <c r="G27" i="9"/>
  <c r="E27" i="9" s="1"/>
  <c r="B27" i="9" s="1"/>
  <c r="F27" i="9"/>
  <c r="H26" i="9"/>
  <c r="G26" i="9"/>
  <c r="F26" i="9"/>
  <c r="E26" i="9"/>
  <c r="B26" i="9" s="1"/>
  <c r="H25" i="9"/>
  <c r="E25" i="9" s="1"/>
  <c r="B25" i="9" s="1"/>
  <c r="G25" i="9"/>
  <c r="F25" i="9"/>
  <c r="H24" i="9"/>
  <c r="G24" i="9"/>
  <c r="E24" i="9" s="1"/>
  <c r="B24" i="9" s="1"/>
  <c r="F24" i="9"/>
  <c r="H23" i="9"/>
  <c r="G23" i="9"/>
  <c r="E23" i="9" s="1"/>
  <c r="B23" i="9" s="1"/>
  <c r="F23" i="9"/>
  <c r="H22" i="9"/>
  <c r="G22" i="9"/>
  <c r="F22" i="9"/>
  <c r="E22" i="9"/>
  <c r="B22" i="9" s="1"/>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D50" i="8"/>
  <c r="C1525" i="1" s="1"/>
  <c r="D44" i="8"/>
  <c r="C1519" i="1" s="1"/>
  <c r="D36" i="8"/>
  <c r="C1511" i="1" s="1"/>
  <c r="D26" i="8"/>
  <c r="C1501" i="1" s="1"/>
  <c r="D24" i="8"/>
  <c r="C1499" i="1" s="1"/>
  <c r="D18" i="8"/>
  <c r="C1493" i="1" s="1"/>
  <c r="D8" i="8"/>
  <c r="C1483" i="1" s="1"/>
  <c r="D6" i="8"/>
  <c r="E44" i="7"/>
  <c r="D1475" i="1" s="1"/>
  <c r="D44" i="7"/>
  <c r="C1475" i="1" s="1"/>
  <c r="E39" i="7"/>
  <c r="D1470" i="1" s="1"/>
  <c r="D39" i="7"/>
  <c r="E38" i="7"/>
  <c r="D1469" i="1" s="1"/>
  <c r="E30" i="7"/>
  <c r="D1461" i="1" s="1"/>
  <c r="D30" i="7"/>
  <c r="E23" i="7"/>
  <c r="D23" i="7"/>
  <c r="C1454" i="1" s="1"/>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F118" i="6" s="1"/>
  <c r="D118" i="6"/>
  <c r="F117" i="6"/>
  <c r="F116" i="6"/>
  <c r="F115" i="6"/>
  <c r="E115" i="6"/>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D90" i="6"/>
  <c r="E89" i="6"/>
  <c r="D89" i="6"/>
  <c r="F88" i="6"/>
  <c r="F87" i="6"/>
  <c r="F86" i="6"/>
  <c r="F85" i="6"/>
  <c r="F84" i="6"/>
  <c r="F83" i="6"/>
  <c r="E82" i="6"/>
  <c r="F82" i="6" s="1"/>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1337" i="1" s="1"/>
  <c r="D43" i="6"/>
  <c r="F43" i="6" s="1"/>
  <c r="F42" i="6"/>
  <c r="F41" i="6"/>
  <c r="F40" i="6"/>
  <c r="F39"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E245" i="5" s="1"/>
  <c r="E237" i="5" s="1"/>
  <c r="I23" i="3" s="1"/>
  <c r="D250" i="5"/>
  <c r="F249" i="5"/>
  <c r="F248" i="5"/>
  <c r="F247" i="5"/>
  <c r="F246" i="5"/>
  <c r="E246" i="5"/>
  <c r="D246" i="5"/>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D206" i="5"/>
  <c r="F205" i="5"/>
  <c r="F204" i="5"/>
  <c r="F203" i="5"/>
  <c r="F202" i="5"/>
  <c r="F201" i="5"/>
  <c r="F200" i="5"/>
  <c r="F199" i="5"/>
  <c r="F198" i="5"/>
  <c r="E198" i="5"/>
  <c r="D198" i="5"/>
  <c r="F197" i="5"/>
  <c r="F196" i="5"/>
  <c r="F195" i="5"/>
  <c r="F194" i="5"/>
  <c r="F193" i="5"/>
  <c r="F192" i="5"/>
  <c r="E191" i="5"/>
  <c r="E190" i="5" s="1"/>
  <c r="H310" i="9" s="1"/>
  <c r="D191" i="5"/>
  <c r="F189" i="5"/>
  <c r="F188" i="5"/>
  <c r="F187" i="5"/>
  <c r="F186" i="5"/>
  <c r="F185" i="5"/>
  <c r="F184" i="5"/>
  <c r="F183" i="5"/>
  <c r="F182" i="5"/>
  <c r="F181" i="5"/>
  <c r="F180" i="5"/>
  <c r="E180" i="5"/>
  <c r="D180" i="5"/>
  <c r="F179" i="5"/>
  <c r="F178" i="5"/>
  <c r="E177" i="5"/>
  <c r="H308"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104" i="1" s="1"/>
  <c r="D126" i="5"/>
  <c r="F125" i="5"/>
  <c r="F124" i="5"/>
  <c r="F123" i="5"/>
  <c r="F122" i="5"/>
  <c r="F121" i="5"/>
  <c r="F120" i="5"/>
  <c r="F119"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E79" i="5"/>
  <c r="E78" i="5" s="1"/>
  <c r="D79" i="5"/>
  <c r="F79" i="5" s="1"/>
  <c r="F77" i="5"/>
  <c r="F76" i="5"/>
  <c r="F75" i="5"/>
  <c r="F74" i="5"/>
  <c r="F73" i="5"/>
  <c r="F72" i="5"/>
  <c r="F71" i="5"/>
  <c r="E70" i="5"/>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4"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E617" i="4"/>
  <c r="D611" i="1" s="1"/>
  <c r="H611" i="1" s="1"/>
  <c r="D617" i="4"/>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D594" i="4"/>
  <c r="D593" i="4"/>
  <c r="F592" i="4"/>
  <c r="F591" i="4"/>
  <c r="F590" i="4"/>
  <c r="E590" i="4"/>
  <c r="E580" i="4" s="1"/>
  <c r="D574" i="1" s="1"/>
  <c r="D590" i="4"/>
  <c r="F589" i="4"/>
  <c r="F588" i="4"/>
  <c r="F587" i="4"/>
  <c r="E587" i="4"/>
  <c r="D587" i="4"/>
  <c r="F586" i="4"/>
  <c r="F585" i="4"/>
  <c r="E585" i="4"/>
  <c r="D585" i="4"/>
  <c r="F584" i="4"/>
  <c r="F583" i="4"/>
  <c r="F582" i="4"/>
  <c r="E581" i="4"/>
  <c r="D581" i="4"/>
  <c r="F579" i="4"/>
  <c r="F578" i="4"/>
  <c r="F577" i="4"/>
  <c r="E577" i="4"/>
  <c r="D577" i="4"/>
  <c r="F576" i="4"/>
  <c r="F575" i="4"/>
  <c r="F574" i="4"/>
  <c r="E574" i="4"/>
  <c r="D574" i="4"/>
  <c r="F573" i="4"/>
  <c r="F572" i="4"/>
  <c r="E571" i="4"/>
  <c r="D571" i="4"/>
  <c r="F571" i="4" s="1"/>
  <c r="F570" i="4"/>
  <c r="F569" i="4"/>
  <c r="E568" i="4"/>
  <c r="E567" i="4" s="1"/>
  <c r="D561" i="1"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D522" i="4"/>
  <c r="F521" i="4"/>
  <c r="F520" i="4"/>
  <c r="F519" i="4"/>
  <c r="E519" i="4"/>
  <c r="D519" i="4"/>
  <c r="F518" i="4"/>
  <c r="F517" i="4"/>
  <c r="E516" i="4"/>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E484" i="4" s="1"/>
  <c r="D478" i="1" s="1"/>
  <c r="D495" i="4"/>
  <c r="F495" i="4" s="1"/>
  <c r="F494" i="4"/>
  <c r="F493" i="4"/>
  <c r="F492" i="4"/>
  <c r="F491" i="4"/>
  <c r="E490" i="4"/>
  <c r="D490" i="4"/>
  <c r="F490" i="4" s="1"/>
  <c r="F489" i="4"/>
  <c r="F488" i="4"/>
  <c r="F487" i="4"/>
  <c r="F486" i="4"/>
  <c r="F485" i="4"/>
  <c r="E485" i="4"/>
  <c r="D485" i="4"/>
  <c r="F483" i="4"/>
  <c r="F482" i="4"/>
  <c r="E481" i="4"/>
  <c r="D481" i="4"/>
  <c r="F481" i="4" s="1"/>
  <c r="F480" i="4"/>
  <c r="F479" i="4"/>
  <c r="E478" i="4"/>
  <c r="E472" i="4" s="1"/>
  <c r="D478" i="4"/>
  <c r="F478" i="4" s="1"/>
  <c r="F477" i="4"/>
  <c r="F476" i="4"/>
  <c r="F475" i="4"/>
  <c r="F474" i="4"/>
  <c r="E473" i="4"/>
  <c r="D473" i="4"/>
  <c r="F471" i="4"/>
  <c r="F470" i="4"/>
  <c r="F469" i="4"/>
  <c r="E469" i="4"/>
  <c r="D469" i="4"/>
  <c r="F468" i="4"/>
  <c r="F467" i="4"/>
  <c r="E466" i="4"/>
  <c r="D466" i="4"/>
  <c r="F466" i="4" s="1"/>
  <c r="F465" i="4"/>
  <c r="F464" i="4"/>
  <c r="E463" i="4"/>
  <c r="D463" i="4"/>
  <c r="F463" i="4"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F418" i="4" s="1"/>
  <c r="D418" i="4"/>
  <c r="E417" i="4"/>
  <c r="E643" i="4" s="1"/>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F391" i="4" s="1"/>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E363" i="4" s="1"/>
  <c r="D358" i="1" s="1"/>
  <c r="D369" i="4"/>
  <c r="F369" i="4" s="1"/>
  <c r="F368" i="4"/>
  <c r="F367" i="4"/>
  <c r="F366" i="4"/>
  <c r="F365" i="4"/>
  <c r="E364" i="4"/>
  <c r="D364" i="4"/>
  <c r="F364" i="4" s="1"/>
  <c r="F362" i="4"/>
  <c r="F361" i="4"/>
  <c r="F360" i="4"/>
  <c r="F359" i="4"/>
  <c r="F358" i="4"/>
  <c r="F357" i="4"/>
  <c r="E356" i="4"/>
  <c r="D356" i="4"/>
  <c r="F356" i="4" s="1"/>
  <c r="F355" i="4"/>
  <c r="F354" i="4"/>
  <c r="F353" i="4"/>
  <c r="F352" i="4"/>
  <c r="E352" i="4"/>
  <c r="E351" i="4" s="1"/>
  <c r="E350" i="4" s="1"/>
  <c r="D352" i="4"/>
  <c r="F349" i="4"/>
  <c r="F348" i="4"/>
  <c r="E348" i="4"/>
  <c r="D348" i="4"/>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E311" i="4" s="1"/>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D300" i="4"/>
  <c r="E299" i="4"/>
  <c r="F296" i="4"/>
  <c r="F295" i="4"/>
  <c r="F294" i="4"/>
  <c r="F293" i="4"/>
  <c r="F292" i="4"/>
  <c r="E288" i="4"/>
  <c r="D288" i="4"/>
  <c r="F288" i="4" s="1"/>
  <c r="E287" i="4"/>
  <c r="D287" i="4"/>
  <c r="F287" i="4" s="1"/>
  <c r="F286" i="4"/>
  <c r="F285" i="4"/>
  <c r="F284" i="4"/>
  <c r="F283" i="4"/>
  <c r="F282" i="4"/>
  <c r="F281" i="4"/>
  <c r="F280" i="4"/>
  <c r="E279" i="4"/>
  <c r="F279" i="4" s="1"/>
  <c r="D279" i="4"/>
  <c r="F278" i="4"/>
  <c r="F277" i="4"/>
  <c r="F276" i="4"/>
  <c r="F275" i="4"/>
  <c r="F274" i="4"/>
  <c r="F273" i="4"/>
  <c r="E273" i="4"/>
  <c r="D273" i="4"/>
  <c r="F272" i="4"/>
  <c r="F271" i="4"/>
  <c r="F270" i="4"/>
  <c r="F269" i="4"/>
  <c r="E268" i="4"/>
  <c r="D268" i="4"/>
  <c r="F267" i="4"/>
  <c r="F266" i="4"/>
  <c r="F265" i="4"/>
  <c r="E264" i="4"/>
  <c r="F264" i="4" s="1"/>
  <c r="D264" i="4"/>
  <c r="D263" i="4"/>
  <c r="F262" i="4"/>
  <c r="F261" i="4"/>
  <c r="F260" i="4"/>
  <c r="E259" i="4"/>
  <c r="D259" i="4"/>
  <c r="F259" i="4" s="1"/>
  <c r="F258" i="4"/>
  <c r="F257" i="4"/>
  <c r="F256" i="4"/>
  <c r="F255" i="4"/>
  <c r="F254" i="4"/>
  <c r="E253" i="4"/>
  <c r="D253" i="4"/>
  <c r="E252" i="4"/>
  <c r="F251" i="4"/>
  <c r="F250" i="4"/>
  <c r="F249" i="4"/>
  <c r="F248" i="4"/>
  <c r="E247" i="4"/>
  <c r="D247" i="4"/>
  <c r="F247" i="4" s="1"/>
  <c r="F246" i="4"/>
  <c r="F245" i="4"/>
  <c r="F244" i="4"/>
  <c r="E244" i="4"/>
  <c r="D244" i="4"/>
  <c r="F243" i="4"/>
  <c r="F242" i="4"/>
  <c r="F241" i="4"/>
  <c r="E240" i="4"/>
  <c r="D240" i="4"/>
  <c r="F240" i="4" s="1"/>
  <c r="F239" i="4"/>
  <c r="F238" i="4"/>
  <c r="F237" i="4"/>
  <c r="E236" i="4"/>
  <c r="F236" i="4" s="1"/>
  <c r="D236" i="4"/>
  <c r="F235" i="4"/>
  <c r="F234" i="4"/>
  <c r="F233" i="4"/>
  <c r="F232" i="4"/>
  <c r="E231" i="4"/>
  <c r="D231" i="4"/>
  <c r="F231" i="4" s="1"/>
  <c r="F230" i="4"/>
  <c r="F229" i="4"/>
  <c r="F228" i="4"/>
  <c r="E228" i="4"/>
  <c r="E224" i="4" s="1"/>
  <c r="D220" i="1" s="1"/>
  <c r="D228" i="4"/>
  <c r="F227" i="4"/>
  <c r="F226" i="4"/>
  <c r="F225" i="4"/>
  <c r="E225" i="4"/>
  <c r="D225" i="4"/>
  <c r="F223" i="4"/>
  <c r="F222" i="4"/>
  <c r="F221" i="4"/>
  <c r="F220" i="4"/>
  <c r="F219" i="4"/>
  <c r="E219" i="4"/>
  <c r="D219" i="4"/>
  <c r="F218" i="4"/>
  <c r="F217" i="4"/>
  <c r="F216" i="4"/>
  <c r="E216" i="4"/>
  <c r="D216" i="4"/>
  <c r="F215" i="4"/>
  <c r="E215" i="4"/>
  <c r="D215" i="4"/>
  <c r="F214" i="4"/>
  <c r="F213" i="4"/>
  <c r="F212" i="4"/>
  <c r="F211" i="4"/>
  <c r="E210" i="4"/>
  <c r="D210" i="4"/>
  <c r="F209" i="4"/>
  <c r="F208" i="4"/>
  <c r="F207" i="4"/>
  <c r="F206" i="4"/>
  <c r="F205" i="4"/>
  <c r="F204" i="4"/>
  <c r="F203" i="4"/>
  <c r="F202" i="4"/>
  <c r="E202" i="4"/>
  <c r="D202" i="4"/>
  <c r="F201" i="4"/>
  <c r="F200" i="4"/>
  <c r="F199" i="4"/>
  <c r="F198" i="4"/>
  <c r="F197" i="4"/>
  <c r="E197" i="4"/>
  <c r="E196" i="4" s="1"/>
  <c r="D197" i="4"/>
  <c r="D196" i="4"/>
  <c r="F196" i="4" s="1"/>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D164" i="4"/>
  <c r="D163" i="4"/>
  <c r="F162" i="4"/>
  <c r="F161" i="4"/>
  <c r="F160" i="4"/>
  <c r="E159" i="4"/>
  <c r="F159" i="4" s="1"/>
  <c r="D159" i="4"/>
  <c r="F158" i="4"/>
  <c r="F157" i="4"/>
  <c r="F156" i="4"/>
  <c r="F155" i="4"/>
  <c r="F154" i="4"/>
  <c r="E153" i="4"/>
  <c r="F153" i="4" s="1"/>
  <c r="D153" i="4"/>
  <c r="E152" i="4"/>
  <c r="D152" i="4"/>
  <c r="F150" i="4"/>
  <c r="F149" i="4"/>
  <c r="F148" i="4"/>
  <c r="F147" i="4"/>
  <c r="F146" i="4"/>
  <c r="F145" i="4"/>
  <c r="F144" i="4"/>
  <c r="F143" i="4"/>
  <c r="F142" i="4"/>
  <c r="F141" i="4"/>
  <c r="E140" i="4"/>
  <c r="D140" i="4"/>
  <c r="E139" i="4"/>
  <c r="F138" i="4"/>
  <c r="F137" i="4"/>
  <c r="F136" i="4"/>
  <c r="F135" i="4"/>
  <c r="F134" i="4"/>
  <c r="E134" i="4"/>
  <c r="D134" i="4"/>
  <c r="D133" i="4" s="1"/>
  <c r="F133" i="4" s="1"/>
  <c r="E133" i="4"/>
  <c r="F132" i="4"/>
  <c r="F131" i="4"/>
  <c r="F130" i="4"/>
  <c r="F129" i="4"/>
  <c r="E128" i="4"/>
  <c r="D128" i="4"/>
  <c r="F128" i="4" s="1"/>
  <c r="F127" i="4"/>
  <c r="F126" i="4"/>
  <c r="E125" i="4"/>
  <c r="E124" i="4" s="1"/>
  <c r="D125" i="4"/>
  <c r="F125" i="4" s="1"/>
  <c r="D124" i="4"/>
  <c r="F124" i="4" s="1"/>
  <c r="F123" i="4"/>
  <c r="F122" i="4"/>
  <c r="F121" i="4"/>
  <c r="F120" i="4"/>
  <c r="E120" i="4"/>
  <c r="D120" i="4"/>
  <c r="F119" i="4"/>
  <c r="F118" i="4"/>
  <c r="F117" i="4"/>
  <c r="F116" i="4"/>
  <c r="F115" i="4"/>
  <c r="F114" i="4"/>
  <c r="F113" i="4"/>
  <c r="E112" i="4"/>
  <c r="D112" i="4"/>
  <c r="F111" i="4"/>
  <c r="F110" i="4"/>
  <c r="F109" i="4"/>
  <c r="F108" i="4"/>
  <c r="E107" i="4"/>
  <c r="F107" i="4" s="1"/>
  <c r="D107" i="4"/>
  <c r="F105" i="4"/>
  <c r="F104" i="4"/>
  <c r="F103" i="4"/>
  <c r="F102" i="4"/>
  <c r="F101" i="4"/>
  <c r="F100" i="4"/>
  <c r="F99" i="4"/>
  <c r="E98" i="4"/>
  <c r="D98" i="4"/>
  <c r="F97" i="4"/>
  <c r="F96" i="4"/>
  <c r="F95" i="4"/>
  <c r="F94" i="4"/>
  <c r="F93" i="4"/>
  <c r="F92" i="4"/>
  <c r="E91" i="4"/>
  <c r="D91" i="4"/>
  <c r="F90" i="4"/>
  <c r="F89" i="4"/>
  <c r="F88" i="4"/>
  <c r="F87" i="4"/>
  <c r="F86" i="4"/>
  <c r="F85" i="4"/>
  <c r="F84" i="4"/>
  <c r="E83" i="4"/>
  <c r="F83" i="4" s="1"/>
  <c r="D83" i="4"/>
  <c r="F81" i="4"/>
  <c r="F80" i="4"/>
  <c r="F79" i="4"/>
  <c r="F78" i="4"/>
  <c r="E77" i="4"/>
  <c r="D77" i="4"/>
  <c r="F77" i="4" s="1"/>
  <c r="F76" i="4"/>
  <c r="F75" i="4"/>
  <c r="F74" i="4"/>
  <c r="E74" i="4"/>
  <c r="D74" i="4"/>
  <c r="F73" i="4"/>
  <c r="F72" i="4"/>
  <c r="F71" i="4"/>
  <c r="E71" i="4"/>
  <c r="D71" i="4"/>
  <c r="F70" i="4"/>
  <c r="F69" i="4"/>
  <c r="E68" i="4"/>
  <c r="D68" i="4"/>
  <c r="F67" i="4"/>
  <c r="F66" i="4"/>
  <c r="E65" i="4"/>
  <c r="D65" i="4"/>
  <c r="F65" i="4" s="1"/>
  <c r="F64" i="4"/>
  <c r="F63" i="4"/>
  <c r="F62" i="4"/>
  <c r="E62" i="4"/>
  <c r="D62" i="4"/>
  <c r="F61" i="4"/>
  <c r="F60" i="4"/>
  <c r="E59" i="4"/>
  <c r="F59" i="4" s="1"/>
  <c r="D59" i="4"/>
  <c r="F58" i="4"/>
  <c r="F57" i="4"/>
  <c r="F56" i="4"/>
  <c r="F55" i="4"/>
  <c r="F54" i="4"/>
  <c r="E54" i="4"/>
  <c r="D54" i="4"/>
  <c r="F53" i="4"/>
  <c r="F52" i="4"/>
  <c r="F51" i="4"/>
  <c r="E51" i="4"/>
  <c r="E50" i="4" s="1"/>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G31" i="3"/>
  <c r="B31"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L3" i="9" s="1"/>
  <c r="D1451" i="1"/>
  <c r="C1451" i="1"/>
  <c r="J1450" i="1"/>
  <c r="D1450" i="1"/>
  <c r="H1450" i="1" s="1"/>
  <c r="C1450" i="1"/>
  <c r="D1449" i="1"/>
  <c r="C1449" i="1"/>
  <c r="D1448" i="1"/>
  <c r="C1448" i="1"/>
  <c r="H1447" i="1"/>
  <c r="G1447" i="1"/>
  <c r="D1447" i="1"/>
  <c r="C1447" i="1"/>
  <c r="J1447" i="1" s="1"/>
  <c r="J1446" i="1"/>
  <c r="D1446" i="1"/>
  <c r="C1446" i="1"/>
  <c r="G1445" i="1"/>
  <c r="D1445" i="1"/>
  <c r="H1445" i="1" s="1"/>
  <c r="C1445" i="1"/>
  <c r="H1444" i="1"/>
  <c r="D1444" i="1"/>
  <c r="C1444" i="1"/>
  <c r="G1443" i="1"/>
  <c r="I1443" i="1" s="1"/>
  <c r="D1443" i="1"/>
  <c r="H1443" i="1" s="1"/>
  <c r="C1443" i="1"/>
  <c r="H1442" i="1"/>
  <c r="D1442" i="1"/>
  <c r="C1442" i="1"/>
  <c r="G1441" i="1"/>
  <c r="I1441" i="1" s="1"/>
  <c r="D1441" i="1"/>
  <c r="H1441" i="1" s="1"/>
  <c r="C1441" i="1"/>
  <c r="H1440" i="1"/>
  <c r="D1440" i="1"/>
  <c r="C1440" i="1"/>
  <c r="G1439" i="1"/>
  <c r="I1439" i="1" s="1"/>
  <c r="D1439" i="1"/>
  <c r="H1439" i="1" s="1"/>
  <c r="C1439" i="1"/>
  <c r="D1438" i="1"/>
  <c r="H1438" i="1" s="1"/>
  <c r="C1438" i="1"/>
  <c r="D1437" i="1"/>
  <c r="H1437" i="1" s="1"/>
  <c r="C1437" i="1"/>
  <c r="G1434" i="1"/>
  <c r="D1434" i="1"/>
  <c r="H1434" i="1" s="1"/>
  <c r="C1434" i="1"/>
  <c r="G1433" i="1"/>
  <c r="D1433" i="1"/>
  <c r="H1433" i="1" s="1"/>
  <c r="C1433" i="1"/>
  <c r="D1432" i="1"/>
  <c r="H1432" i="1" s="1"/>
  <c r="C1432" i="1"/>
  <c r="D1431" i="1"/>
  <c r="H1431" i="1" s="1"/>
  <c r="C1431" i="1"/>
  <c r="G1430" i="1"/>
  <c r="D1430" i="1"/>
  <c r="H1430" i="1" s="1"/>
  <c r="C1430" i="1"/>
  <c r="G1429" i="1"/>
  <c r="D1429" i="1"/>
  <c r="H1429" i="1" s="1"/>
  <c r="C1429" i="1"/>
  <c r="D1428" i="1"/>
  <c r="H1428" i="1" s="1"/>
  <c r="C1428" i="1"/>
  <c r="D1427" i="1"/>
  <c r="H1427" i="1" s="1"/>
  <c r="C1427" i="1"/>
  <c r="G1426" i="1"/>
  <c r="D1426" i="1"/>
  <c r="H1426" i="1" s="1"/>
  <c r="C1426" i="1"/>
  <c r="G1425" i="1"/>
  <c r="D1425" i="1"/>
  <c r="H1425" i="1" s="1"/>
  <c r="C1425" i="1"/>
  <c r="D1424" i="1"/>
  <c r="H1424" i="1" s="1"/>
  <c r="C1424" i="1"/>
  <c r="D1423" i="1"/>
  <c r="G1422" i="1"/>
  <c r="D1422" i="1"/>
  <c r="H1422" i="1" s="1"/>
  <c r="C1422" i="1"/>
  <c r="D1421" i="1"/>
  <c r="H1421" i="1" s="1"/>
  <c r="C1421" i="1"/>
  <c r="D1420" i="1"/>
  <c r="H1420" i="1" s="1"/>
  <c r="C1420" i="1"/>
  <c r="G1419" i="1"/>
  <c r="D1419" i="1"/>
  <c r="H1419" i="1" s="1"/>
  <c r="C1419" i="1"/>
  <c r="G1418" i="1"/>
  <c r="D1418" i="1"/>
  <c r="H1418" i="1" s="1"/>
  <c r="C1418" i="1"/>
  <c r="D1417" i="1"/>
  <c r="H1417" i="1" s="1"/>
  <c r="C1417" i="1"/>
  <c r="D1416" i="1"/>
  <c r="H1416" i="1" s="1"/>
  <c r="C1416" i="1"/>
  <c r="G1415" i="1"/>
  <c r="D1415" i="1"/>
  <c r="H1415" i="1" s="1"/>
  <c r="C1415" i="1"/>
  <c r="G1414" i="1"/>
  <c r="D1414" i="1"/>
  <c r="H1414" i="1" s="1"/>
  <c r="C1414" i="1"/>
  <c r="D1413" i="1"/>
  <c r="H1413" i="1" s="1"/>
  <c r="C1413" i="1"/>
  <c r="D1412" i="1"/>
  <c r="H1412" i="1" s="1"/>
  <c r="C1412" i="1"/>
  <c r="G1411" i="1"/>
  <c r="D1411" i="1"/>
  <c r="H1411" i="1" s="1"/>
  <c r="C1411" i="1"/>
  <c r="G1410" i="1"/>
  <c r="D1410" i="1"/>
  <c r="H1410" i="1" s="1"/>
  <c r="C1410" i="1"/>
  <c r="D1409" i="1"/>
  <c r="H1409" i="1" s="1"/>
  <c r="C1409" i="1"/>
  <c r="C1408" i="1"/>
  <c r="G1407" i="1"/>
  <c r="D1407" i="1"/>
  <c r="H1407" i="1" s="1"/>
  <c r="C1407" i="1"/>
  <c r="G1406" i="1"/>
  <c r="D1406" i="1"/>
  <c r="H1406" i="1" s="1"/>
  <c r="C1406" i="1"/>
  <c r="D1405" i="1"/>
  <c r="H1405" i="1" s="1"/>
  <c r="C1405" i="1"/>
  <c r="D1404" i="1"/>
  <c r="H1404" i="1" s="1"/>
  <c r="C1404" i="1"/>
  <c r="G1403" i="1"/>
  <c r="D1403" i="1"/>
  <c r="H1403" i="1" s="1"/>
  <c r="C1403" i="1"/>
  <c r="G1402" i="1"/>
  <c r="D1402" i="1"/>
  <c r="H1402" i="1" s="1"/>
  <c r="C1402" i="1"/>
  <c r="D1401" i="1"/>
  <c r="H1401" i="1" s="1"/>
  <c r="C1401" i="1"/>
  <c r="D1400" i="1"/>
  <c r="H1400" i="1" s="1"/>
  <c r="C1400" i="1"/>
  <c r="G1399" i="1"/>
  <c r="D1399" i="1"/>
  <c r="H1399" i="1" s="1"/>
  <c r="C1399" i="1"/>
  <c r="G1398" i="1"/>
  <c r="D1398" i="1"/>
  <c r="H1398" i="1" s="1"/>
  <c r="C1398" i="1"/>
  <c r="D1397" i="1"/>
  <c r="H1397" i="1" s="1"/>
  <c r="C1397" i="1"/>
  <c r="D1396" i="1"/>
  <c r="H1396" i="1" s="1"/>
  <c r="C1396" i="1"/>
  <c r="G1395" i="1"/>
  <c r="D1395" i="1"/>
  <c r="H1395" i="1" s="1"/>
  <c r="C1395" i="1"/>
  <c r="G1394" i="1"/>
  <c r="D1394" i="1"/>
  <c r="H1394" i="1" s="1"/>
  <c r="C1394" i="1"/>
  <c r="D1393" i="1"/>
  <c r="H1393" i="1" s="1"/>
  <c r="C1393" i="1"/>
  <c r="D1392" i="1"/>
  <c r="H1392" i="1" s="1"/>
  <c r="C1392" i="1"/>
  <c r="G1391" i="1"/>
  <c r="D1391" i="1"/>
  <c r="H1391" i="1" s="1"/>
  <c r="C1391" i="1"/>
  <c r="G1390" i="1"/>
  <c r="D1390" i="1"/>
  <c r="H1390" i="1" s="1"/>
  <c r="C1390" i="1"/>
  <c r="D1389" i="1"/>
  <c r="H1389" i="1" s="1"/>
  <c r="C1389" i="1"/>
  <c r="D1388" i="1"/>
  <c r="G1387" i="1"/>
  <c r="D1387" i="1"/>
  <c r="H1387" i="1" s="1"/>
  <c r="C1387" i="1"/>
  <c r="D1386" i="1"/>
  <c r="H1386" i="1" s="1"/>
  <c r="C1386" i="1"/>
  <c r="D1385" i="1"/>
  <c r="H1385" i="1" s="1"/>
  <c r="C1385" i="1"/>
  <c r="G1384" i="1"/>
  <c r="D1384" i="1"/>
  <c r="H1384" i="1" s="1"/>
  <c r="C1384" i="1"/>
  <c r="D1383" i="1"/>
  <c r="D1382" i="1"/>
  <c r="H1382" i="1" s="1"/>
  <c r="C1382" i="1"/>
  <c r="G1381" i="1"/>
  <c r="D1381" i="1"/>
  <c r="H1381" i="1" s="1"/>
  <c r="C1381" i="1"/>
  <c r="G1380" i="1"/>
  <c r="D1380" i="1"/>
  <c r="H1380" i="1" s="1"/>
  <c r="C1380" i="1"/>
  <c r="D1379" i="1"/>
  <c r="H1379" i="1" s="1"/>
  <c r="C1379" i="1"/>
  <c r="D1378" i="1"/>
  <c r="H1378" i="1" s="1"/>
  <c r="C1378" i="1"/>
  <c r="G1377" i="1"/>
  <c r="D1377" i="1"/>
  <c r="H1377" i="1" s="1"/>
  <c r="C1377" i="1"/>
  <c r="C1376" i="1"/>
  <c r="D1375" i="1"/>
  <c r="H1375" i="1" s="1"/>
  <c r="C1375" i="1"/>
  <c r="D1374" i="1"/>
  <c r="H1374" i="1" s="1"/>
  <c r="C1374" i="1"/>
  <c r="G1373" i="1"/>
  <c r="D1373" i="1"/>
  <c r="H1373" i="1" s="1"/>
  <c r="C1373" i="1"/>
  <c r="G1372" i="1"/>
  <c r="D1372" i="1"/>
  <c r="H1372" i="1" s="1"/>
  <c r="C1372" i="1"/>
  <c r="D1371" i="1"/>
  <c r="H1371" i="1" s="1"/>
  <c r="C1371" i="1"/>
  <c r="D1370" i="1"/>
  <c r="H1370" i="1" s="1"/>
  <c r="C1370" i="1"/>
  <c r="G1369" i="1"/>
  <c r="D1369" i="1"/>
  <c r="H1369" i="1" s="1"/>
  <c r="C1369" i="1"/>
  <c r="G1368" i="1"/>
  <c r="D1368" i="1"/>
  <c r="H1368" i="1" s="1"/>
  <c r="C1368" i="1"/>
  <c r="D1367" i="1"/>
  <c r="H1367" i="1" s="1"/>
  <c r="C1367" i="1"/>
  <c r="D1366" i="1"/>
  <c r="H1366" i="1" s="1"/>
  <c r="C1366" i="1"/>
  <c r="G1365" i="1"/>
  <c r="D1365" i="1"/>
  <c r="H1365" i="1" s="1"/>
  <c r="C1365" i="1"/>
  <c r="G1364" i="1"/>
  <c r="D1364" i="1"/>
  <c r="H1364" i="1" s="1"/>
  <c r="C1364" i="1"/>
  <c r="D1363" i="1"/>
  <c r="H1363" i="1" s="1"/>
  <c r="C1363" i="1"/>
  <c r="D1362" i="1"/>
  <c r="H1362" i="1" s="1"/>
  <c r="C1362" i="1"/>
  <c r="G1361" i="1"/>
  <c r="D1361" i="1"/>
  <c r="H1361" i="1" s="1"/>
  <c r="C1361" i="1"/>
  <c r="C1360" i="1"/>
  <c r="D1359" i="1"/>
  <c r="H1359" i="1" s="1"/>
  <c r="C1359" i="1"/>
  <c r="D1358" i="1"/>
  <c r="H1358" i="1" s="1"/>
  <c r="C1358" i="1"/>
  <c r="G1357" i="1"/>
  <c r="D1357" i="1"/>
  <c r="H1357" i="1" s="1"/>
  <c r="C1357" i="1"/>
  <c r="G1356" i="1"/>
  <c r="D1356" i="1"/>
  <c r="H1356" i="1" s="1"/>
  <c r="C1356" i="1"/>
  <c r="D1355" i="1"/>
  <c r="H1355" i="1" s="1"/>
  <c r="C1355" i="1"/>
  <c r="D1354" i="1"/>
  <c r="H1354" i="1" s="1"/>
  <c r="C1354" i="1"/>
  <c r="G1353" i="1"/>
  <c r="D1353" i="1"/>
  <c r="H1353" i="1" s="1"/>
  <c r="C1353" i="1"/>
  <c r="G1352" i="1"/>
  <c r="D1352" i="1"/>
  <c r="H1352" i="1" s="1"/>
  <c r="C1352" i="1"/>
  <c r="D1351" i="1"/>
  <c r="H1351" i="1" s="1"/>
  <c r="C1351" i="1"/>
  <c r="D1350" i="1"/>
  <c r="H1350" i="1" s="1"/>
  <c r="C1350" i="1"/>
  <c r="G1349" i="1"/>
  <c r="D1349" i="1"/>
  <c r="H1349" i="1" s="1"/>
  <c r="C1349" i="1"/>
  <c r="G1348" i="1"/>
  <c r="D1348" i="1"/>
  <c r="H1348" i="1" s="1"/>
  <c r="C1348" i="1"/>
  <c r="D1347" i="1"/>
  <c r="H1347" i="1" s="1"/>
  <c r="C1347" i="1"/>
  <c r="D1346" i="1"/>
  <c r="H1346" i="1" s="1"/>
  <c r="C1346" i="1"/>
  <c r="G1345" i="1"/>
  <c r="D1345" i="1"/>
  <c r="H1345" i="1" s="1"/>
  <c r="C1345" i="1"/>
  <c r="G1344" i="1"/>
  <c r="D1344" i="1"/>
  <c r="H1344" i="1" s="1"/>
  <c r="C1344" i="1"/>
  <c r="D1343" i="1"/>
  <c r="H1343" i="1" s="1"/>
  <c r="C1343" i="1"/>
  <c r="D1342" i="1"/>
  <c r="H1342" i="1" s="1"/>
  <c r="C1342" i="1"/>
  <c r="G1341" i="1"/>
  <c r="D1341" i="1"/>
  <c r="H1341" i="1" s="1"/>
  <c r="C1341" i="1"/>
  <c r="G1340" i="1"/>
  <c r="D1340" i="1"/>
  <c r="H1340" i="1" s="1"/>
  <c r="C1340" i="1"/>
  <c r="D1339" i="1"/>
  <c r="H1339" i="1" s="1"/>
  <c r="C1339" i="1"/>
  <c r="D1338" i="1"/>
  <c r="H1338" i="1" s="1"/>
  <c r="C1338" i="1"/>
  <c r="C1337" i="1"/>
  <c r="G1336" i="1"/>
  <c r="D1336" i="1"/>
  <c r="H1336" i="1" s="1"/>
  <c r="C1336" i="1"/>
  <c r="D1335" i="1"/>
  <c r="H1335" i="1" s="1"/>
  <c r="C1335" i="1"/>
  <c r="D1334" i="1"/>
  <c r="H1334" i="1" s="1"/>
  <c r="C1334" i="1"/>
  <c r="G1333" i="1"/>
  <c r="D1333" i="1"/>
  <c r="H1333" i="1" s="1"/>
  <c r="C1333" i="1"/>
  <c r="G1332" i="1"/>
  <c r="D1332" i="1"/>
  <c r="H1332" i="1" s="1"/>
  <c r="C1332" i="1"/>
  <c r="D1331" i="1"/>
  <c r="H1331" i="1" s="1"/>
  <c r="C1331" i="1"/>
  <c r="D1330" i="1"/>
  <c r="H1330" i="1" s="1"/>
  <c r="C1330" i="1"/>
  <c r="D1328" i="1"/>
  <c r="H1328" i="1" s="1"/>
  <c r="C1328" i="1"/>
  <c r="D1327" i="1"/>
  <c r="H1327" i="1" s="1"/>
  <c r="C1327" i="1"/>
  <c r="G1326" i="1"/>
  <c r="D1326" i="1"/>
  <c r="H1326" i="1" s="1"/>
  <c r="C1326" i="1"/>
  <c r="G1325" i="1"/>
  <c r="D1325" i="1"/>
  <c r="H1325" i="1" s="1"/>
  <c r="C1325" i="1"/>
  <c r="D1324" i="1"/>
  <c r="H1324" i="1" s="1"/>
  <c r="C1324" i="1"/>
  <c r="D1323" i="1"/>
  <c r="H1323" i="1" s="1"/>
  <c r="C1323" i="1"/>
  <c r="D1322" i="1"/>
  <c r="D1321" i="1"/>
  <c r="H1321" i="1" s="1"/>
  <c r="C1321" i="1"/>
  <c r="D1320" i="1"/>
  <c r="H1320" i="1" s="1"/>
  <c r="C1320" i="1"/>
  <c r="G1319" i="1"/>
  <c r="D1319" i="1"/>
  <c r="H1319" i="1" s="1"/>
  <c r="C1319" i="1"/>
  <c r="G1318" i="1"/>
  <c r="D1318" i="1"/>
  <c r="H1318" i="1" s="1"/>
  <c r="C1318" i="1"/>
  <c r="D1317" i="1"/>
  <c r="H1317" i="1" s="1"/>
  <c r="C1317" i="1"/>
  <c r="D1316" i="1"/>
  <c r="H1316" i="1" s="1"/>
  <c r="C1316" i="1"/>
  <c r="G1315" i="1"/>
  <c r="D1315" i="1"/>
  <c r="H1315" i="1" s="1"/>
  <c r="C1315" i="1"/>
  <c r="G1314" i="1"/>
  <c r="D1314" i="1"/>
  <c r="H1314" i="1" s="1"/>
  <c r="C1314" i="1"/>
  <c r="D1313" i="1"/>
  <c r="H1313" i="1" s="1"/>
  <c r="C1313" i="1"/>
  <c r="D1312" i="1"/>
  <c r="H1312" i="1" s="1"/>
  <c r="C1312" i="1"/>
  <c r="G1311" i="1"/>
  <c r="D1311" i="1"/>
  <c r="H1311" i="1" s="1"/>
  <c r="C1311" i="1"/>
  <c r="G1310" i="1"/>
  <c r="D1310" i="1"/>
  <c r="H1310" i="1" s="1"/>
  <c r="C1310" i="1"/>
  <c r="D1309" i="1"/>
  <c r="H1309" i="1" s="1"/>
  <c r="C1309" i="1"/>
  <c r="D1308" i="1"/>
  <c r="H1308" i="1" s="1"/>
  <c r="C1308" i="1"/>
  <c r="G1307" i="1"/>
  <c r="D1307" i="1"/>
  <c r="H1307" i="1" s="1"/>
  <c r="C1307" i="1"/>
  <c r="G1306" i="1"/>
  <c r="D1306" i="1"/>
  <c r="H1306" i="1" s="1"/>
  <c r="C1306" i="1"/>
  <c r="D1305" i="1"/>
  <c r="H1305" i="1" s="1"/>
  <c r="C1305" i="1"/>
  <c r="D1304" i="1"/>
  <c r="H1304" i="1" s="1"/>
  <c r="C1304" i="1"/>
  <c r="G1303" i="1"/>
  <c r="D1303" i="1"/>
  <c r="H1303" i="1" s="1"/>
  <c r="C1303" i="1"/>
  <c r="G1302" i="1"/>
  <c r="D1302" i="1"/>
  <c r="H1302" i="1" s="1"/>
  <c r="C1302" i="1"/>
  <c r="D1301" i="1"/>
  <c r="H1301" i="1" s="1"/>
  <c r="C1301" i="1"/>
  <c r="D1300" i="1"/>
  <c r="H1300" i="1" s="1"/>
  <c r="C1300" i="1"/>
  <c r="G1299" i="1"/>
  <c r="D1299" i="1"/>
  <c r="H1299" i="1" s="1"/>
  <c r="C1299" i="1"/>
  <c r="G1298" i="1"/>
  <c r="D1298" i="1"/>
  <c r="H1298" i="1" s="1"/>
  <c r="C1298" i="1"/>
  <c r="D1297" i="1"/>
  <c r="H1297" i="1" s="1"/>
  <c r="C1297" i="1"/>
  <c r="D1296" i="1"/>
  <c r="H1296" i="1" s="1"/>
  <c r="C1296" i="1"/>
  <c r="G1295" i="1"/>
  <c r="D1295" i="1"/>
  <c r="H1295" i="1" s="1"/>
  <c r="C1295" i="1"/>
  <c r="G1294" i="1"/>
  <c r="D1294" i="1"/>
  <c r="H1294" i="1" s="1"/>
  <c r="C1294" i="1"/>
  <c r="D1293" i="1"/>
  <c r="H1293" i="1" s="1"/>
  <c r="C1293" i="1"/>
  <c r="D1292" i="1"/>
  <c r="H1292" i="1" s="1"/>
  <c r="C1292" i="1"/>
  <c r="G1291" i="1"/>
  <c r="D1291" i="1"/>
  <c r="H1291" i="1" s="1"/>
  <c r="C1291" i="1"/>
  <c r="G1290" i="1"/>
  <c r="D1290" i="1"/>
  <c r="H1290" i="1" s="1"/>
  <c r="C1290" i="1"/>
  <c r="D1289" i="1"/>
  <c r="H1289" i="1" s="1"/>
  <c r="C1289" i="1"/>
  <c r="D1288" i="1"/>
  <c r="H1288" i="1" s="1"/>
  <c r="C1288" i="1"/>
  <c r="G1287" i="1"/>
  <c r="D1287" i="1"/>
  <c r="H1287" i="1" s="1"/>
  <c r="C1287" i="1"/>
  <c r="G1286" i="1"/>
  <c r="D1286" i="1"/>
  <c r="H1286" i="1" s="1"/>
  <c r="C1286" i="1"/>
  <c r="D1285" i="1"/>
  <c r="H1285" i="1" s="1"/>
  <c r="C1285" i="1"/>
  <c r="D1284" i="1"/>
  <c r="H1284" i="1" s="1"/>
  <c r="C1284" i="1"/>
  <c r="G1283" i="1"/>
  <c r="D1283" i="1"/>
  <c r="H1283" i="1" s="1"/>
  <c r="C1283" i="1"/>
  <c r="G1282" i="1"/>
  <c r="D1282" i="1"/>
  <c r="H1282" i="1" s="1"/>
  <c r="C1282" i="1"/>
  <c r="D1281" i="1"/>
  <c r="H1281" i="1" s="1"/>
  <c r="C1281" i="1"/>
  <c r="D1280" i="1"/>
  <c r="H1280" i="1" s="1"/>
  <c r="C1280" i="1"/>
  <c r="G1279" i="1"/>
  <c r="D1279" i="1"/>
  <c r="H1279" i="1" s="1"/>
  <c r="C1279" i="1"/>
  <c r="G1278" i="1"/>
  <c r="D1278" i="1"/>
  <c r="H1278" i="1" s="1"/>
  <c r="C1278" i="1"/>
  <c r="D1277" i="1"/>
  <c r="H1277" i="1" s="1"/>
  <c r="C1277" i="1"/>
  <c r="D1276" i="1"/>
  <c r="H1276" i="1" s="1"/>
  <c r="C1276" i="1"/>
  <c r="G1275" i="1"/>
  <c r="D1275" i="1"/>
  <c r="H1275" i="1" s="1"/>
  <c r="C1275" i="1"/>
  <c r="G1274" i="1"/>
  <c r="D1274" i="1"/>
  <c r="H1274" i="1" s="1"/>
  <c r="C1274" i="1"/>
  <c r="D1273" i="1"/>
  <c r="H1273" i="1" s="1"/>
  <c r="C1273" i="1"/>
  <c r="D1272" i="1"/>
  <c r="H1272" i="1" s="1"/>
  <c r="C1272" i="1"/>
  <c r="G1271" i="1"/>
  <c r="D1271" i="1"/>
  <c r="H1271" i="1" s="1"/>
  <c r="C1271" i="1"/>
  <c r="D1270" i="1"/>
  <c r="C1270" i="1"/>
  <c r="D1269" i="1"/>
  <c r="C1269" i="1"/>
  <c r="D1268" i="1"/>
  <c r="H1268" i="1" s="1"/>
  <c r="C1268" i="1"/>
  <c r="G1267" i="1"/>
  <c r="D1267" i="1"/>
  <c r="H1267" i="1" s="1"/>
  <c r="C1267" i="1"/>
  <c r="G1266" i="1"/>
  <c r="D1266" i="1"/>
  <c r="H1266" i="1" s="1"/>
  <c r="C1266" i="1"/>
  <c r="D1265" i="1"/>
  <c r="H1265" i="1" s="1"/>
  <c r="C1265" i="1"/>
  <c r="D1264" i="1"/>
  <c r="C1264" i="1"/>
  <c r="D1263" i="1"/>
  <c r="H1263" i="1" s="1"/>
  <c r="C1263" i="1"/>
  <c r="G1263" i="1" s="1"/>
  <c r="G1262" i="1"/>
  <c r="D1262" i="1"/>
  <c r="H1262" i="1" s="1"/>
  <c r="C1262" i="1"/>
  <c r="D1261" i="1"/>
  <c r="H1261" i="1" s="1"/>
  <c r="C1261" i="1"/>
  <c r="D1260" i="1"/>
  <c r="H1260" i="1" s="1"/>
  <c r="C1260" i="1"/>
  <c r="G1259" i="1"/>
  <c r="D1259" i="1"/>
  <c r="H1259" i="1" s="1"/>
  <c r="C1259" i="1"/>
  <c r="G1258" i="1"/>
  <c r="D1258" i="1"/>
  <c r="H1258" i="1" s="1"/>
  <c r="C1258" i="1"/>
  <c r="D1257" i="1"/>
  <c r="H1257" i="1" s="1"/>
  <c r="C1257" i="1"/>
  <c r="D1256" i="1"/>
  <c r="H1256" i="1" s="1"/>
  <c r="C1256" i="1"/>
  <c r="G1255" i="1"/>
  <c r="D1255" i="1"/>
  <c r="H1255" i="1" s="1"/>
  <c r="C1255" i="1"/>
  <c r="G1254" i="1"/>
  <c r="D1254" i="1"/>
  <c r="H1254" i="1" s="1"/>
  <c r="C1254" i="1"/>
  <c r="D1253" i="1"/>
  <c r="H1253" i="1" s="1"/>
  <c r="C1253" i="1"/>
  <c r="D1252" i="1"/>
  <c r="H1252" i="1" s="1"/>
  <c r="C1252" i="1"/>
  <c r="G1251" i="1"/>
  <c r="D1251" i="1"/>
  <c r="H1251" i="1" s="1"/>
  <c r="C1251" i="1"/>
  <c r="G1250" i="1"/>
  <c r="D1250" i="1"/>
  <c r="H1250" i="1" s="1"/>
  <c r="C1250" i="1"/>
  <c r="D1249" i="1"/>
  <c r="H1249" i="1" s="1"/>
  <c r="C1249" i="1"/>
  <c r="D1248" i="1"/>
  <c r="H1248" i="1" s="1"/>
  <c r="C1248" i="1"/>
  <c r="G1247" i="1"/>
  <c r="D1247" i="1"/>
  <c r="H1247" i="1" s="1"/>
  <c r="C1247" i="1"/>
  <c r="G1246" i="1"/>
  <c r="D1246" i="1"/>
  <c r="H1246" i="1" s="1"/>
  <c r="C1246" i="1"/>
  <c r="D1245" i="1"/>
  <c r="H1245" i="1" s="1"/>
  <c r="C1245" i="1"/>
  <c r="D1244" i="1"/>
  <c r="H1244" i="1" s="1"/>
  <c r="C1244" i="1"/>
  <c r="D1243" i="1"/>
  <c r="C1243" i="1"/>
  <c r="D1242" i="1"/>
  <c r="C1242" i="1"/>
  <c r="D1241" i="1"/>
  <c r="H1241" i="1" s="1"/>
  <c r="C1241" i="1"/>
  <c r="D1240" i="1"/>
  <c r="H1240" i="1" s="1"/>
  <c r="C1240" i="1"/>
  <c r="G1239" i="1"/>
  <c r="D1239" i="1"/>
  <c r="H1239" i="1" s="1"/>
  <c r="C1239" i="1"/>
  <c r="G1238" i="1"/>
  <c r="D1238" i="1"/>
  <c r="H1238" i="1" s="1"/>
  <c r="C1238" i="1"/>
  <c r="D1237" i="1"/>
  <c r="H1237" i="1" s="1"/>
  <c r="C1237" i="1"/>
  <c r="D1236" i="1"/>
  <c r="H1236" i="1" s="1"/>
  <c r="C1236" i="1"/>
  <c r="G1235" i="1"/>
  <c r="D1235" i="1"/>
  <c r="H1235" i="1" s="1"/>
  <c r="C1235" i="1"/>
  <c r="G1234" i="1"/>
  <c r="D1234" i="1"/>
  <c r="H1234" i="1" s="1"/>
  <c r="C1234" i="1"/>
  <c r="D1233" i="1"/>
  <c r="H1233" i="1" s="1"/>
  <c r="C1233" i="1"/>
  <c r="D1232" i="1"/>
  <c r="H1232" i="1" s="1"/>
  <c r="C1232" i="1"/>
  <c r="G1231" i="1"/>
  <c r="D1231" i="1"/>
  <c r="H1231" i="1" s="1"/>
  <c r="C1231" i="1"/>
  <c r="G1230" i="1"/>
  <c r="D1230" i="1"/>
  <c r="H1230" i="1" s="1"/>
  <c r="C1230" i="1"/>
  <c r="D1229" i="1"/>
  <c r="H1229" i="1" s="1"/>
  <c r="C1229" i="1"/>
  <c r="D1228" i="1"/>
  <c r="H1228" i="1" s="1"/>
  <c r="C1228" i="1"/>
  <c r="G1227" i="1"/>
  <c r="D1227" i="1"/>
  <c r="H1227" i="1" s="1"/>
  <c r="C1227" i="1"/>
  <c r="G1226" i="1"/>
  <c r="D1226" i="1"/>
  <c r="H1226" i="1" s="1"/>
  <c r="C1226" i="1"/>
  <c r="D1225" i="1"/>
  <c r="H1225" i="1" s="1"/>
  <c r="C1225" i="1"/>
  <c r="D1224" i="1"/>
  <c r="H1224" i="1" s="1"/>
  <c r="C1224" i="1"/>
  <c r="G1223" i="1"/>
  <c r="D1223" i="1"/>
  <c r="H1223" i="1" s="1"/>
  <c r="C1223" i="1"/>
  <c r="D1222" i="1"/>
  <c r="D1221" i="1"/>
  <c r="H1221" i="1" s="1"/>
  <c r="C1221" i="1"/>
  <c r="G1220" i="1"/>
  <c r="D1220" i="1"/>
  <c r="H1220" i="1" s="1"/>
  <c r="C1220" i="1"/>
  <c r="G1219" i="1"/>
  <c r="D1219" i="1"/>
  <c r="H1219" i="1" s="1"/>
  <c r="C1219" i="1"/>
  <c r="D1218" i="1"/>
  <c r="H1218" i="1" s="1"/>
  <c r="C1218" i="1"/>
  <c r="D1217" i="1"/>
  <c r="H1217" i="1" s="1"/>
  <c r="C1217" i="1"/>
  <c r="G1216" i="1"/>
  <c r="D1216" i="1"/>
  <c r="H1216" i="1" s="1"/>
  <c r="C1216" i="1"/>
  <c r="D1215" i="1"/>
  <c r="D1214" i="1"/>
  <c r="G1213" i="1"/>
  <c r="D1213" i="1"/>
  <c r="H1213" i="1" s="1"/>
  <c r="C1213" i="1"/>
  <c r="D1212" i="1"/>
  <c r="H1212" i="1" s="1"/>
  <c r="C1212" i="1"/>
  <c r="D1211" i="1"/>
  <c r="H1211" i="1" s="1"/>
  <c r="C1211" i="1"/>
  <c r="G1210" i="1"/>
  <c r="D1210" i="1"/>
  <c r="H1210" i="1" s="1"/>
  <c r="C1210" i="1"/>
  <c r="G1209" i="1"/>
  <c r="D1209" i="1"/>
  <c r="H1209" i="1" s="1"/>
  <c r="C1209" i="1"/>
  <c r="D1208" i="1"/>
  <c r="H1208" i="1" s="1"/>
  <c r="C1208" i="1"/>
  <c r="D1207" i="1"/>
  <c r="H1207" i="1" s="1"/>
  <c r="C1207" i="1"/>
  <c r="G1206" i="1"/>
  <c r="D1206" i="1"/>
  <c r="H1206" i="1" s="1"/>
  <c r="C1206" i="1"/>
  <c r="G1205" i="1"/>
  <c r="D1205" i="1"/>
  <c r="H1205" i="1" s="1"/>
  <c r="C1205" i="1"/>
  <c r="D1204" i="1"/>
  <c r="H1204" i="1" s="1"/>
  <c r="C1204" i="1"/>
  <c r="D1203" i="1"/>
  <c r="H1203" i="1" s="1"/>
  <c r="C1203" i="1"/>
  <c r="G1202" i="1"/>
  <c r="D1202" i="1"/>
  <c r="H1202" i="1" s="1"/>
  <c r="C1202" i="1"/>
  <c r="G1201" i="1"/>
  <c r="D1201" i="1"/>
  <c r="H1201" i="1" s="1"/>
  <c r="C1201" i="1"/>
  <c r="D1200" i="1"/>
  <c r="H1200" i="1" s="1"/>
  <c r="C1200" i="1"/>
  <c r="D1199" i="1"/>
  <c r="H1199" i="1" s="1"/>
  <c r="C1199" i="1"/>
  <c r="G1198" i="1"/>
  <c r="D1198" i="1"/>
  <c r="H1198" i="1" s="1"/>
  <c r="C1198" i="1"/>
  <c r="G1197" i="1"/>
  <c r="D1197" i="1"/>
  <c r="H1197" i="1" s="1"/>
  <c r="C1197" i="1"/>
  <c r="D1196" i="1"/>
  <c r="H1196" i="1" s="1"/>
  <c r="C1196" i="1"/>
  <c r="D1195" i="1"/>
  <c r="H1195" i="1" s="1"/>
  <c r="C1195" i="1"/>
  <c r="G1194" i="1"/>
  <c r="D1194" i="1"/>
  <c r="H1194" i="1" s="1"/>
  <c r="C1194" i="1"/>
  <c r="G1193" i="1"/>
  <c r="D1193" i="1"/>
  <c r="H1193" i="1" s="1"/>
  <c r="C1193" i="1"/>
  <c r="D1192" i="1"/>
  <c r="H1192" i="1" s="1"/>
  <c r="C1192" i="1"/>
  <c r="D1191" i="1"/>
  <c r="H1191" i="1" s="1"/>
  <c r="C1191" i="1"/>
  <c r="G1190" i="1"/>
  <c r="D1190" i="1"/>
  <c r="C1190" i="1"/>
  <c r="H1190" i="1" s="1"/>
  <c r="G1189" i="1"/>
  <c r="D1189" i="1"/>
  <c r="C1189" i="1"/>
  <c r="D1188" i="1"/>
  <c r="G1188" i="1" s="1"/>
  <c r="C1188" i="1"/>
  <c r="D1187" i="1"/>
  <c r="G1187" i="1" s="1"/>
  <c r="C1187" i="1"/>
  <c r="H1187" i="1" s="1"/>
  <c r="G1186" i="1"/>
  <c r="D1186" i="1"/>
  <c r="C1186" i="1"/>
  <c r="H1186" i="1" s="1"/>
  <c r="G1185" i="1"/>
  <c r="D1185" i="1"/>
  <c r="C1185" i="1"/>
  <c r="D1184" i="1"/>
  <c r="G1184" i="1" s="1"/>
  <c r="C1184" i="1"/>
  <c r="C1183" i="1"/>
  <c r="G1182" i="1"/>
  <c r="D1182" i="1"/>
  <c r="C1182" i="1"/>
  <c r="H1182" i="1" s="1"/>
  <c r="G1181" i="1"/>
  <c r="D1181" i="1"/>
  <c r="C1181" i="1"/>
  <c r="D1180" i="1"/>
  <c r="C1180" i="1"/>
  <c r="G1180" i="1" s="1"/>
  <c r="D1179" i="1"/>
  <c r="C1179" i="1"/>
  <c r="H1179" i="1" s="1"/>
  <c r="G1178" i="1"/>
  <c r="D1178" i="1"/>
  <c r="C1178" i="1"/>
  <c r="H1178" i="1" s="1"/>
  <c r="G1177" i="1"/>
  <c r="D1177" i="1"/>
  <c r="C1177" i="1"/>
  <c r="G1176" i="1"/>
  <c r="D1176" i="1"/>
  <c r="H1176" i="1" s="1"/>
  <c r="C1176" i="1"/>
  <c r="G1175" i="1"/>
  <c r="D1175" i="1"/>
  <c r="H1175" i="1" s="1"/>
  <c r="C1175" i="1"/>
  <c r="G1174" i="1"/>
  <c r="D1174" i="1"/>
  <c r="H1174" i="1" s="1"/>
  <c r="C1174" i="1"/>
  <c r="G1173" i="1"/>
  <c r="D1173" i="1"/>
  <c r="H1173" i="1" s="1"/>
  <c r="C1173" i="1"/>
  <c r="G1172" i="1"/>
  <c r="D1172" i="1"/>
  <c r="H1172" i="1" s="1"/>
  <c r="C1172" i="1"/>
  <c r="G1171" i="1"/>
  <c r="D1171" i="1"/>
  <c r="H1171" i="1" s="1"/>
  <c r="C1171" i="1"/>
  <c r="G1170" i="1"/>
  <c r="D1170" i="1"/>
  <c r="H1170" i="1" s="1"/>
  <c r="C1170" i="1"/>
  <c r="G1169" i="1"/>
  <c r="D1169" i="1"/>
  <c r="H1169" i="1" s="1"/>
  <c r="C1169" i="1"/>
  <c r="G1168" i="1"/>
  <c r="D1168" i="1"/>
  <c r="H1168" i="1" s="1"/>
  <c r="C1168" i="1"/>
  <c r="D1167" i="1"/>
  <c r="G1166" i="1"/>
  <c r="D1166" i="1"/>
  <c r="H1166" i="1" s="1"/>
  <c r="C1166" i="1"/>
  <c r="G1165" i="1"/>
  <c r="D1165" i="1"/>
  <c r="H1165" i="1" s="1"/>
  <c r="C1165" i="1"/>
  <c r="G1164" i="1"/>
  <c r="D1164" i="1"/>
  <c r="H1164" i="1" s="1"/>
  <c r="C1164" i="1"/>
  <c r="G1163" i="1"/>
  <c r="D1163" i="1"/>
  <c r="H1163" i="1" s="1"/>
  <c r="C1163" i="1"/>
  <c r="G1162" i="1"/>
  <c r="D1162" i="1"/>
  <c r="H1162" i="1" s="1"/>
  <c r="C1162" i="1"/>
  <c r="G1161" i="1"/>
  <c r="D1161" i="1"/>
  <c r="H1161" i="1" s="1"/>
  <c r="C1161" i="1"/>
  <c r="G1160" i="1"/>
  <c r="D1160" i="1"/>
  <c r="H1160" i="1" s="1"/>
  <c r="C1160" i="1"/>
  <c r="G1159" i="1"/>
  <c r="D1159" i="1"/>
  <c r="H1159" i="1" s="1"/>
  <c r="C1159" i="1"/>
  <c r="G1158" i="1"/>
  <c r="D1158" i="1"/>
  <c r="H1158" i="1" s="1"/>
  <c r="C1158" i="1"/>
  <c r="G1157" i="1"/>
  <c r="D1157" i="1"/>
  <c r="H1157" i="1" s="1"/>
  <c r="C1157" i="1"/>
  <c r="G1156" i="1"/>
  <c r="D1156" i="1"/>
  <c r="H1156" i="1" s="1"/>
  <c r="C1156" i="1"/>
  <c r="G1155" i="1"/>
  <c r="D1155" i="1"/>
  <c r="H1155" i="1" s="1"/>
  <c r="C1155" i="1"/>
  <c r="G1154" i="1"/>
  <c r="D1154" i="1"/>
  <c r="H1154" i="1" s="1"/>
  <c r="C1154" i="1"/>
  <c r="G1151" i="1"/>
  <c r="D1151" i="1"/>
  <c r="H1151" i="1" s="1"/>
  <c r="C1151" i="1"/>
  <c r="G1150" i="1"/>
  <c r="D1150" i="1"/>
  <c r="H1150" i="1" s="1"/>
  <c r="C1150" i="1"/>
  <c r="G1149" i="1"/>
  <c r="D1149" i="1"/>
  <c r="H1149" i="1" s="1"/>
  <c r="C1149" i="1"/>
  <c r="G1148" i="1"/>
  <c r="D1148" i="1"/>
  <c r="H1148" i="1" s="1"/>
  <c r="C1148" i="1"/>
  <c r="G1147" i="1"/>
  <c r="D1147" i="1"/>
  <c r="H1147" i="1" s="1"/>
  <c r="C1147" i="1"/>
  <c r="G1146" i="1"/>
  <c r="D1146" i="1"/>
  <c r="H1146" i="1" s="1"/>
  <c r="C1146" i="1"/>
  <c r="G1145" i="1"/>
  <c r="D1145" i="1"/>
  <c r="H1145" i="1" s="1"/>
  <c r="C1145" i="1"/>
  <c r="G1144" i="1"/>
  <c r="D1144" i="1"/>
  <c r="H1144" i="1" s="1"/>
  <c r="C1144" i="1"/>
  <c r="G1143" i="1"/>
  <c r="D1143" i="1"/>
  <c r="H1143" i="1" s="1"/>
  <c r="C1143" i="1"/>
  <c r="G1142" i="1"/>
  <c r="D1142" i="1"/>
  <c r="H1142" i="1" s="1"/>
  <c r="C1142" i="1"/>
  <c r="G1141" i="1"/>
  <c r="D1141" i="1"/>
  <c r="H1141" i="1" s="1"/>
  <c r="C1141" i="1"/>
  <c r="G1140" i="1"/>
  <c r="D1140" i="1"/>
  <c r="H1140" i="1" s="1"/>
  <c r="C1140" i="1"/>
  <c r="G1139" i="1"/>
  <c r="D1139" i="1"/>
  <c r="H1139" i="1" s="1"/>
  <c r="C1139" i="1"/>
  <c r="G1138" i="1"/>
  <c r="D1138" i="1"/>
  <c r="H1138" i="1" s="1"/>
  <c r="C1138" i="1"/>
  <c r="G1137" i="1"/>
  <c r="D1137" i="1"/>
  <c r="H1137" i="1" s="1"/>
  <c r="C1137" i="1"/>
  <c r="G1136" i="1"/>
  <c r="D1136" i="1"/>
  <c r="H1136" i="1" s="1"/>
  <c r="C1136" i="1"/>
  <c r="G1135" i="1"/>
  <c r="D1135" i="1"/>
  <c r="H1135" i="1" s="1"/>
  <c r="C1135" i="1"/>
  <c r="G1134" i="1"/>
  <c r="D1134" i="1"/>
  <c r="H1134" i="1" s="1"/>
  <c r="C1134" i="1"/>
  <c r="G1133" i="1"/>
  <c r="D1133" i="1"/>
  <c r="H1133" i="1" s="1"/>
  <c r="C1133" i="1"/>
  <c r="G1132" i="1"/>
  <c r="D1132" i="1"/>
  <c r="H1132" i="1" s="1"/>
  <c r="C1132" i="1"/>
  <c r="G1131" i="1"/>
  <c r="D1131" i="1"/>
  <c r="H1131" i="1" s="1"/>
  <c r="C1131" i="1"/>
  <c r="G1130" i="1"/>
  <c r="D1130" i="1"/>
  <c r="H1130" i="1" s="1"/>
  <c r="C1130" i="1"/>
  <c r="G1129" i="1"/>
  <c r="D1129" i="1"/>
  <c r="H1129" i="1" s="1"/>
  <c r="C1129" i="1"/>
  <c r="G1128" i="1"/>
  <c r="D1128" i="1"/>
  <c r="H1128" i="1" s="1"/>
  <c r="C1128" i="1"/>
  <c r="G1127" i="1"/>
  <c r="D1127" i="1"/>
  <c r="H1127" i="1" s="1"/>
  <c r="C1127" i="1"/>
  <c r="G1126" i="1"/>
  <c r="D1126" i="1"/>
  <c r="H1126" i="1" s="1"/>
  <c r="C1126" i="1"/>
  <c r="G1125" i="1"/>
  <c r="D1125" i="1"/>
  <c r="H1125" i="1" s="1"/>
  <c r="C1125" i="1"/>
  <c r="G1123" i="1"/>
  <c r="D1123" i="1"/>
  <c r="H1123" i="1" s="1"/>
  <c r="C1123" i="1"/>
  <c r="G1122" i="1"/>
  <c r="D1122" i="1"/>
  <c r="H1122" i="1" s="1"/>
  <c r="C1122" i="1"/>
  <c r="G1121" i="1"/>
  <c r="D1121" i="1"/>
  <c r="H1121" i="1" s="1"/>
  <c r="C1121" i="1"/>
  <c r="G1120" i="1"/>
  <c r="D1120" i="1"/>
  <c r="H1120" i="1" s="1"/>
  <c r="C1120" i="1"/>
  <c r="G1119" i="1"/>
  <c r="D1119" i="1"/>
  <c r="H1119" i="1" s="1"/>
  <c r="C1119" i="1"/>
  <c r="G1118" i="1"/>
  <c r="D1118" i="1"/>
  <c r="H1118" i="1" s="1"/>
  <c r="C1118" i="1"/>
  <c r="G1117" i="1"/>
  <c r="D1117" i="1"/>
  <c r="H1117" i="1" s="1"/>
  <c r="C1117" i="1"/>
  <c r="G1116" i="1"/>
  <c r="D1116" i="1"/>
  <c r="H1116" i="1" s="1"/>
  <c r="C1116" i="1"/>
  <c r="G1115" i="1"/>
  <c r="D1115" i="1"/>
  <c r="H1115" i="1" s="1"/>
  <c r="C1115" i="1"/>
  <c r="G1114" i="1"/>
  <c r="D1114" i="1"/>
  <c r="H1114" i="1" s="1"/>
  <c r="C1114" i="1"/>
  <c r="G1113" i="1"/>
  <c r="D1113" i="1"/>
  <c r="H1113" i="1" s="1"/>
  <c r="C1113" i="1"/>
  <c r="D1112" i="1"/>
  <c r="G1111" i="1"/>
  <c r="D1111" i="1"/>
  <c r="H1111" i="1" s="1"/>
  <c r="C1111" i="1"/>
  <c r="G1110" i="1"/>
  <c r="D1110" i="1"/>
  <c r="H1110" i="1" s="1"/>
  <c r="C1110" i="1"/>
  <c r="G1109" i="1"/>
  <c r="D1109" i="1"/>
  <c r="H1109" i="1" s="1"/>
  <c r="C1109" i="1"/>
  <c r="H1108" i="1"/>
  <c r="G1108" i="1"/>
  <c r="D1108" i="1"/>
  <c r="C1108" i="1"/>
  <c r="H1107" i="1"/>
  <c r="G1107" i="1"/>
  <c r="D1107" i="1"/>
  <c r="C1107" i="1"/>
  <c r="H1106" i="1"/>
  <c r="G1106" i="1"/>
  <c r="D1106" i="1"/>
  <c r="C1106" i="1"/>
  <c r="H1105" i="1"/>
  <c r="G1105" i="1"/>
  <c r="D1105" i="1"/>
  <c r="C1105"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G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D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D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D395" i="1"/>
  <c r="H394" i="1"/>
  <c r="G394" i="1"/>
  <c r="D394" i="1"/>
  <c r="C394" i="1"/>
  <c r="H393" i="1"/>
  <c r="G393" i="1"/>
  <c r="D393" i="1"/>
  <c r="C393" i="1"/>
  <c r="D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D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B217" i="9" l="1"/>
  <c r="E296" i="9"/>
  <c r="B296" i="9" s="1"/>
  <c r="E303" i="9"/>
  <c r="B303" i="9" s="1"/>
  <c r="E294" i="9"/>
  <c r="B294" i="9" s="1"/>
  <c r="H1269" i="1"/>
  <c r="H1270" i="1"/>
  <c r="G1270" i="1"/>
  <c r="H1264" i="1"/>
  <c r="H1242" i="1"/>
  <c r="H1243" i="1"/>
  <c r="G1242" i="1"/>
  <c r="G1243" i="1"/>
  <c r="E292" i="9"/>
  <c r="B292" i="9" s="1"/>
  <c r="H1337" i="1"/>
  <c r="G1337" i="1"/>
  <c r="H1360" i="1"/>
  <c r="G1360" i="1"/>
  <c r="H1104" i="1"/>
  <c r="G1104" i="1"/>
  <c r="G1449" i="1"/>
  <c r="J1449" i="1"/>
  <c r="G1451" i="1"/>
  <c r="J1451" i="1"/>
  <c r="F68" i="4"/>
  <c r="D50" i="4"/>
  <c r="F300" i="4"/>
  <c r="D299" i="4"/>
  <c r="F397" i="4"/>
  <c r="D396" i="4"/>
  <c r="D472" i="4"/>
  <c r="F473" i="4"/>
  <c r="E69" i="5"/>
  <c r="F70" i="5"/>
  <c r="F28" i="6"/>
  <c r="C1322" i="1"/>
  <c r="C1530" i="1"/>
  <c r="D49" i="8"/>
  <c r="C1524" i="1" s="1"/>
  <c r="G1550" i="1"/>
  <c r="H1550" i="1"/>
  <c r="G1570" i="1"/>
  <c r="H1570" i="1"/>
  <c r="G1192" i="1"/>
  <c r="G1196" i="1"/>
  <c r="G1200" i="1"/>
  <c r="G1204" i="1"/>
  <c r="G1208" i="1"/>
  <c r="G1212" i="1"/>
  <c r="G1218" i="1"/>
  <c r="G1225" i="1"/>
  <c r="G1229" i="1"/>
  <c r="G1233" i="1"/>
  <c r="G1237" i="1"/>
  <c r="G1241" i="1"/>
  <c r="G1245" i="1"/>
  <c r="G1249" i="1"/>
  <c r="G1253" i="1"/>
  <c r="G1257" i="1"/>
  <c r="G1261" i="1"/>
  <c r="G1265" i="1"/>
  <c r="G1269" i="1"/>
  <c r="G1273" i="1"/>
  <c r="G1277" i="1"/>
  <c r="G1281" i="1"/>
  <c r="G1285" i="1"/>
  <c r="G1289" i="1"/>
  <c r="G1293" i="1"/>
  <c r="G1297" i="1"/>
  <c r="G1301" i="1"/>
  <c r="G1305" i="1"/>
  <c r="G1309" i="1"/>
  <c r="G1313" i="1"/>
  <c r="G1317" i="1"/>
  <c r="G1321" i="1"/>
  <c r="G1324" i="1"/>
  <c r="G1328" i="1"/>
  <c r="G1331" i="1"/>
  <c r="G1335" i="1"/>
  <c r="G1339" i="1"/>
  <c r="G1343" i="1"/>
  <c r="G1347" i="1"/>
  <c r="G1351" i="1"/>
  <c r="G1355" i="1"/>
  <c r="G1359" i="1"/>
  <c r="G1363" i="1"/>
  <c r="G1367" i="1"/>
  <c r="G1371" i="1"/>
  <c r="G1375" i="1"/>
  <c r="G1379" i="1"/>
  <c r="G1386" i="1"/>
  <c r="G1389" i="1"/>
  <c r="G1393" i="1"/>
  <c r="G1397" i="1"/>
  <c r="G1401" i="1"/>
  <c r="G1405" i="1"/>
  <c r="G1409" i="1"/>
  <c r="G1413" i="1"/>
  <c r="G1417" i="1"/>
  <c r="G1421" i="1"/>
  <c r="G1424" i="1"/>
  <c r="G1428" i="1"/>
  <c r="G1432" i="1"/>
  <c r="G1438" i="1"/>
  <c r="J1439" i="1"/>
  <c r="J1441" i="1"/>
  <c r="J1443" i="1"/>
  <c r="H1446" i="1"/>
  <c r="G1446" i="1"/>
  <c r="I1446" i="1" s="1"/>
  <c r="J1448" i="1"/>
  <c r="H1448" i="1"/>
  <c r="G1448" i="1"/>
  <c r="I1448" i="1" s="1"/>
  <c r="F140" i="4"/>
  <c r="D139" i="4"/>
  <c r="D252" i="4"/>
  <c r="F253" i="4"/>
  <c r="D459" i="4"/>
  <c r="F581" i="4"/>
  <c r="D580" i="4"/>
  <c r="G290" i="9"/>
  <c r="E290" i="9" s="1"/>
  <c r="B290" i="9" s="1"/>
  <c r="F88" i="5"/>
  <c r="D87" i="5"/>
  <c r="E118" i="5"/>
  <c r="D1096" i="1" s="1"/>
  <c r="I24" i="3"/>
  <c r="C1461" i="1"/>
  <c r="D22" i="7"/>
  <c r="C295" i="1"/>
  <c r="C392" i="1"/>
  <c r="C395" i="1"/>
  <c r="C467" i="1"/>
  <c r="C496" i="1"/>
  <c r="C509" i="1"/>
  <c r="C587" i="1"/>
  <c r="H1177" i="1"/>
  <c r="G1179" i="1"/>
  <c r="H1181" i="1"/>
  <c r="H1185" i="1"/>
  <c r="H1189" i="1"/>
  <c r="G1191" i="1"/>
  <c r="G1195" i="1"/>
  <c r="G1199" i="1"/>
  <c r="G1203" i="1"/>
  <c r="G1207" i="1"/>
  <c r="G1211" i="1"/>
  <c r="G1217" i="1"/>
  <c r="G1221" i="1"/>
  <c r="G1224" i="1"/>
  <c r="G1228" i="1"/>
  <c r="G1232" i="1"/>
  <c r="G1236" i="1"/>
  <c r="G1240" i="1"/>
  <c r="G1244" i="1"/>
  <c r="G1248" i="1"/>
  <c r="G1252" i="1"/>
  <c r="G1256" i="1"/>
  <c r="G1260" i="1"/>
  <c r="G1264" i="1"/>
  <c r="G1268" i="1"/>
  <c r="G1272" i="1"/>
  <c r="G1276" i="1"/>
  <c r="G1280" i="1"/>
  <c r="G1284" i="1"/>
  <c r="G1288" i="1"/>
  <c r="G1292" i="1"/>
  <c r="G1296" i="1"/>
  <c r="G1300" i="1"/>
  <c r="G1304" i="1"/>
  <c r="G1308" i="1"/>
  <c r="G1312" i="1"/>
  <c r="G1316" i="1"/>
  <c r="G1320" i="1"/>
  <c r="G1323" i="1"/>
  <c r="G1327" i="1"/>
  <c r="G1330" i="1"/>
  <c r="G1334" i="1"/>
  <c r="G1338" i="1"/>
  <c r="G1342" i="1"/>
  <c r="G1346" i="1"/>
  <c r="G1350" i="1"/>
  <c r="G1354" i="1"/>
  <c r="G1358" i="1"/>
  <c r="G1362" i="1"/>
  <c r="G1366" i="1"/>
  <c r="G1370" i="1"/>
  <c r="G1374" i="1"/>
  <c r="G1378" i="1"/>
  <c r="G1382" i="1"/>
  <c r="G1385" i="1"/>
  <c r="G1392" i="1"/>
  <c r="G1396" i="1"/>
  <c r="G1400" i="1"/>
  <c r="G1404" i="1"/>
  <c r="G1412" i="1"/>
  <c r="G1416" i="1"/>
  <c r="G1420" i="1"/>
  <c r="G1427" i="1"/>
  <c r="G1431" i="1"/>
  <c r="G1437" i="1"/>
  <c r="G1440" i="1"/>
  <c r="I1440" i="1" s="1"/>
  <c r="J1440" i="1"/>
  <c r="G1442" i="1"/>
  <c r="I1442" i="1" s="1"/>
  <c r="J1442" i="1"/>
  <c r="G1444" i="1"/>
  <c r="I1444" i="1" s="1"/>
  <c r="J1444" i="1"/>
  <c r="J1445" i="1"/>
  <c r="H1449" i="1"/>
  <c r="G1450" i="1"/>
  <c r="I1450" i="1" s="1"/>
  <c r="H1451" i="1"/>
  <c r="E7" i="4"/>
  <c r="F91" i="4"/>
  <c r="F98" i="4"/>
  <c r="D82" i="4"/>
  <c r="F112" i="4"/>
  <c r="D106" i="4"/>
  <c r="D351" i="4"/>
  <c r="F422" i="4"/>
  <c r="D421" i="4"/>
  <c r="E593" i="4"/>
  <c r="D587" i="1" s="1"/>
  <c r="G143" i="9"/>
  <c r="E143" i="9" s="1"/>
  <c r="B143" i="9" s="1"/>
  <c r="F603" i="4"/>
  <c r="D7" i="5"/>
  <c r="H291" i="9"/>
  <c r="E146" i="5"/>
  <c r="D1124" i="1" s="1"/>
  <c r="E206" i="5"/>
  <c r="F207" i="5"/>
  <c r="D345" i="1"/>
  <c r="D346" i="1"/>
  <c r="D378" i="1"/>
  <c r="D523" i="1"/>
  <c r="D562" i="1"/>
  <c r="D584" i="1"/>
  <c r="D1048" i="1"/>
  <c r="H1180" i="1"/>
  <c r="H1184" i="1"/>
  <c r="H1188" i="1"/>
  <c r="D1376" i="1"/>
  <c r="I1447" i="1"/>
  <c r="F8" i="4"/>
  <c r="D7" i="4"/>
  <c r="F29" i="4"/>
  <c r="F169" i="4"/>
  <c r="F416" i="4"/>
  <c r="D643" i="4"/>
  <c r="F617" i="4"/>
  <c r="F89" i="6"/>
  <c r="C1383" i="1"/>
  <c r="F94" i="6"/>
  <c r="C1388" i="1"/>
  <c r="E114" i="6"/>
  <c r="F114" i="6" s="1"/>
  <c r="F164" i="4"/>
  <c r="D311" i="4"/>
  <c r="E421" i="4"/>
  <c r="D528" i="4"/>
  <c r="D567" i="4"/>
  <c r="D625" i="4"/>
  <c r="F13" i="5"/>
  <c r="F41" i="5"/>
  <c r="F69" i="5"/>
  <c r="D78" i="5"/>
  <c r="D134" i="5"/>
  <c r="G311" i="9"/>
  <c r="F206" i="5"/>
  <c r="D245" i="5"/>
  <c r="F36" i="6"/>
  <c r="D35" i="6"/>
  <c r="D141" i="6" s="1"/>
  <c r="D43" i="8"/>
  <c r="H1535" i="1"/>
  <c r="G1535" i="1"/>
  <c r="H1555" i="1"/>
  <c r="G1555" i="1"/>
  <c r="G1576" i="1"/>
  <c r="H1576" i="1"/>
  <c r="E163" i="4"/>
  <c r="D224" i="4"/>
  <c r="D484" i="4"/>
  <c r="E12" i="5"/>
  <c r="G308" i="9"/>
  <c r="E308" i="9" s="1"/>
  <c r="B308" i="9" s="1"/>
  <c r="F177" i="5"/>
  <c r="F239" i="5"/>
  <c r="D238" i="5"/>
  <c r="F5" i="6"/>
  <c r="E35" i="6"/>
  <c r="F130" i="6"/>
  <c r="D129" i="6"/>
  <c r="H1499" i="1"/>
  <c r="G1499" i="1"/>
  <c r="H1519" i="1"/>
  <c r="G1519" i="1"/>
  <c r="E82" i="4"/>
  <c r="D78" i="1" s="1"/>
  <c r="E106" i="4"/>
  <c r="D102" i="1" s="1"/>
  <c r="H21" i="9"/>
  <c r="F152" i="4"/>
  <c r="G21" i="9"/>
  <c r="E21" i="9" s="1"/>
  <c r="F210" i="4"/>
  <c r="E263" i="4"/>
  <c r="F268" i="4"/>
  <c r="E298" i="4"/>
  <c r="E408" i="4" s="1"/>
  <c r="D403" i="1" s="1"/>
  <c r="D363" i="4"/>
  <c r="D644" i="4"/>
  <c r="F417" i="4"/>
  <c r="E515" i="4"/>
  <c r="D509" i="1" s="1"/>
  <c r="G291" i="9"/>
  <c r="E291" i="9" s="1"/>
  <c r="B291" i="9" s="1"/>
  <c r="D146" i="5"/>
  <c r="F149" i="5"/>
  <c r="F191" i="5"/>
  <c r="D190" i="5"/>
  <c r="D176" i="5" s="1"/>
  <c r="F250" i="5"/>
  <c r="D1454" i="1"/>
  <c r="E22" i="7"/>
  <c r="E5" i="7" s="1"/>
  <c r="C1470" i="1"/>
  <c r="D38" i="7"/>
  <c r="C1481" i="1"/>
  <c r="D42" i="8"/>
  <c r="G1501" i="1"/>
  <c r="H1501" i="1"/>
  <c r="H1483" i="1"/>
  <c r="G1483" i="1"/>
  <c r="H1511" i="1"/>
  <c r="G1511" i="1"/>
  <c r="G1540" i="1"/>
  <c r="H1540" i="1"/>
  <c r="G1560" i="1"/>
  <c r="H1560" i="1"/>
  <c r="G279" i="9"/>
  <c r="E279" i="9" s="1"/>
  <c r="B279" i="9" s="1"/>
  <c r="G280" i="9"/>
  <c r="E280" i="9" s="1"/>
  <c r="B280" i="9" s="1"/>
  <c r="G281" i="9"/>
  <c r="E281" i="9" s="1"/>
  <c r="B281" i="9" s="1"/>
  <c r="M213" i="9"/>
  <c r="G165" i="9"/>
  <c r="G164" i="9"/>
  <c r="E164" i="9" s="1"/>
  <c r="B164" i="9" s="1"/>
  <c r="G163" i="9"/>
  <c r="E163" i="9" s="1"/>
  <c r="B163" i="9" s="1"/>
  <c r="G162" i="9"/>
  <c r="E162" i="9" s="1"/>
  <c r="B162" i="9" s="1"/>
  <c r="G161" i="9"/>
  <c r="E161" i="9" s="1"/>
  <c r="B161" i="9" s="1"/>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113" i="9"/>
  <c r="B113" i="9" s="1"/>
  <c r="E121" i="9"/>
  <c r="B121" i="9" s="1"/>
  <c r="E129" i="9"/>
  <c r="B129" i="9" s="1"/>
  <c r="E137" i="9"/>
  <c r="B137" i="9" s="1"/>
  <c r="E149" i="9"/>
  <c r="B149" i="9" s="1"/>
  <c r="E157" i="9"/>
  <c r="B157" i="9" s="1"/>
  <c r="G166" i="9"/>
  <c r="B215" i="9"/>
  <c r="B231" i="9"/>
  <c r="B239" i="9"/>
  <c r="E87" i="5"/>
  <c r="D1065" i="1" s="1"/>
  <c r="E176" i="5"/>
  <c r="G1454" i="1"/>
  <c r="H1454" i="1"/>
  <c r="H1475" i="1"/>
  <c r="G1475" i="1"/>
  <c r="G1493" i="1"/>
  <c r="H1493" i="1"/>
  <c r="G1525" i="1"/>
  <c r="H1525" i="1"/>
  <c r="G1545" i="1"/>
  <c r="H1545" i="1"/>
  <c r="G1565" i="1"/>
  <c r="H1565" i="1"/>
  <c r="B111" i="9"/>
  <c r="B119" i="9"/>
  <c r="B127" i="9"/>
  <c r="B135" i="9"/>
  <c r="B147" i="9"/>
  <c r="B155" i="9"/>
  <c r="B221" i="9"/>
  <c r="E89" i="9"/>
  <c r="B89" i="9" s="1"/>
  <c r="E93" i="9"/>
  <c r="B93" i="9" s="1"/>
  <c r="E95" i="9"/>
  <c r="B95" i="9" s="1"/>
  <c r="E101" i="9"/>
  <c r="B101" i="9" s="1"/>
  <c r="E105" i="9"/>
  <c r="B105" i="9" s="1"/>
  <c r="E109" i="9"/>
  <c r="B109" i="9" s="1"/>
  <c r="E117" i="9"/>
  <c r="B117" i="9" s="1"/>
  <c r="E125" i="9"/>
  <c r="B125" i="9" s="1"/>
  <c r="E133" i="9"/>
  <c r="B133" i="9" s="1"/>
  <c r="E141" i="9"/>
  <c r="B141" i="9" s="1"/>
  <c r="E145" i="9"/>
  <c r="B145" i="9" s="1"/>
  <c r="E153" i="9"/>
  <c r="B153" i="9" s="1"/>
  <c r="H165" i="9"/>
  <c r="B219" i="9"/>
  <c r="B227" i="9"/>
  <c r="B235" i="9"/>
  <c r="B226" i="9"/>
  <c r="B230" i="9"/>
  <c r="B234" i="9"/>
  <c r="B238" i="9"/>
  <c r="B242" i="9"/>
  <c r="F277" i="9"/>
  <c r="I1452" i="1"/>
  <c r="F223" i="9"/>
  <c r="B223" i="9" s="1"/>
  <c r="F224" i="9"/>
  <c r="B224" i="9" s="1"/>
  <c r="F228" i="9"/>
  <c r="B228" i="9" s="1"/>
  <c r="F232" i="9"/>
  <c r="B232" i="9" s="1"/>
  <c r="F236" i="9"/>
  <c r="B236" i="9" s="1"/>
  <c r="F240" i="9"/>
  <c r="B240" i="9" s="1"/>
  <c r="I1460" i="1"/>
  <c r="G1562" i="1"/>
  <c r="H1562" i="1"/>
  <c r="G1558" i="1"/>
  <c r="H1558" i="1"/>
  <c r="G1510" i="1"/>
  <c r="H1510" i="1"/>
  <c r="H1579" i="1"/>
  <c r="G1566" i="1"/>
  <c r="H1566" i="1"/>
  <c r="G1554" i="1"/>
  <c r="H1554" i="1"/>
  <c r="G1526" i="1"/>
  <c r="H1526" i="1"/>
  <c r="G1506" i="1"/>
  <c r="H1506" i="1"/>
  <c r="G1498" i="1"/>
  <c r="H1498" i="1"/>
  <c r="G1490" i="1"/>
  <c r="H1490" i="1"/>
  <c r="I1478" i="1"/>
  <c r="I1476" i="1"/>
  <c r="J1474" i="1"/>
  <c r="G1474" i="1"/>
  <c r="I1474" i="1" s="1"/>
  <c r="H1473" i="1"/>
  <c r="I1473" i="1" s="1"/>
  <c r="J1472" i="1"/>
  <c r="G1472" i="1"/>
  <c r="I1472" i="1" s="1"/>
  <c r="H1471" i="1"/>
  <c r="I1471" i="1" s="1"/>
  <c r="J1468" i="1"/>
  <c r="G1468" i="1"/>
  <c r="I1468" i="1" s="1"/>
  <c r="H1467" i="1"/>
  <c r="I1467" i="1" s="1"/>
  <c r="J1466" i="1"/>
  <c r="G1466" i="1"/>
  <c r="I1466" i="1" s="1"/>
  <c r="H1465" i="1"/>
  <c r="I1465" i="1" s="1"/>
  <c r="J1464" i="1"/>
  <c r="G1464" i="1"/>
  <c r="I1464" i="1" s="1"/>
  <c r="H1463" i="1"/>
  <c r="I1463" i="1" s="1"/>
  <c r="J1462" i="1"/>
  <c r="G1462" i="1"/>
  <c r="I1462" i="1" s="1"/>
  <c r="H1580" i="1"/>
  <c r="H1574" i="1"/>
  <c r="G1571" i="1"/>
  <c r="G1563" i="1"/>
  <c r="G1559" i="1"/>
  <c r="G1542" i="1"/>
  <c r="H1542" i="1"/>
  <c r="G1538" i="1"/>
  <c r="H1538" i="1"/>
  <c r="G1531" i="1"/>
  <c r="G1502" i="1"/>
  <c r="H1502" i="1"/>
  <c r="G1494" i="1"/>
  <c r="H1494" i="1"/>
  <c r="G1486" i="1"/>
  <c r="H1486" i="1"/>
  <c r="J1473" i="1"/>
  <c r="J1471" i="1"/>
  <c r="J1467" i="1"/>
  <c r="J1465" i="1"/>
  <c r="J1463" i="1"/>
  <c r="G1567" i="1"/>
  <c r="G1546" i="1"/>
  <c r="H1546" i="1"/>
  <c r="G1534" i="1"/>
  <c r="H1534" i="1"/>
  <c r="G1527" i="1"/>
  <c r="G1522" i="1"/>
  <c r="H1522" i="1"/>
  <c r="G1514" i="1"/>
  <c r="H1514" i="1"/>
  <c r="G1507" i="1"/>
  <c r="G1491" i="1"/>
  <c r="G1482" i="1"/>
  <c r="H1482" i="1"/>
  <c r="J1479" i="1"/>
  <c r="G1479" i="1"/>
  <c r="I1479" i="1" s="1"/>
  <c r="J1477" i="1"/>
  <c r="G1477" i="1"/>
  <c r="I1477" i="1" s="1"/>
  <c r="H1460" i="1"/>
  <c r="J1459" i="1"/>
  <c r="G1459" i="1"/>
  <c r="I1459" i="1" s="1"/>
  <c r="H1458" i="1"/>
  <c r="I1458" i="1" s="1"/>
  <c r="J1457" i="1"/>
  <c r="G1457" i="1"/>
  <c r="I1457" i="1" s="1"/>
  <c r="H1456" i="1"/>
  <c r="I1456" i="1" s="1"/>
  <c r="J1455" i="1"/>
  <c r="G1455" i="1"/>
  <c r="I1455" i="1" s="1"/>
  <c r="H1452" i="1"/>
  <c r="F176" i="5" l="1"/>
  <c r="H22" i="3"/>
  <c r="C1153" i="1"/>
  <c r="C1435" i="1"/>
  <c r="H28" i="3"/>
  <c r="I29" i="3"/>
  <c r="D1436" i="1"/>
  <c r="G1481" i="1"/>
  <c r="H1481" i="1"/>
  <c r="C1423" i="1"/>
  <c r="F129" i="6"/>
  <c r="F484" i="4"/>
  <c r="C478" i="1"/>
  <c r="C1222" i="1"/>
  <c r="F245" i="5"/>
  <c r="F78" i="5"/>
  <c r="C1056" i="1"/>
  <c r="D68" i="5"/>
  <c r="F625" i="4"/>
  <c r="C619" i="1"/>
  <c r="F311" i="4"/>
  <c r="C306" i="1"/>
  <c r="F643" i="4"/>
  <c r="C637" i="1"/>
  <c r="F7" i="4"/>
  <c r="D6" i="4"/>
  <c r="C3" i="1"/>
  <c r="H584" i="1"/>
  <c r="G584" i="1"/>
  <c r="H311" i="9"/>
  <c r="E311" i="9" s="1"/>
  <c r="B311" i="9" s="1"/>
  <c r="D1183" i="1"/>
  <c r="E6" i="4"/>
  <c r="D3" i="1"/>
  <c r="H587" i="1"/>
  <c r="G587" i="1"/>
  <c r="H395" i="1"/>
  <c r="G395" i="1"/>
  <c r="G1461" i="1"/>
  <c r="H1461" i="1"/>
  <c r="F87" i="5"/>
  <c r="C1065" i="1"/>
  <c r="F580" i="4"/>
  <c r="C574" i="1"/>
  <c r="F252" i="4"/>
  <c r="C248" i="1"/>
  <c r="G1530" i="1"/>
  <c r="H1530" i="1"/>
  <c r="I1449" i="1"/>
  <c r="E175" i="5"/>
  <c r="D1152" i="1" s="1"/>
  <c r="I22" i="3"/>
  <c r="D1153" i="1"/>
  <c r="E165" i="9"/>
  <c r="B165" i="9" s="1"/>
  <c r="C1469" i="1"/>
  <c r="H31" i="3"/>
  <c r="F146" i="5"/>
  <c r="C1124" i="1"/>
  <c r="F644" i="4"/>
  <c r="C638" i="1"/>
  <c r="D259" i="1"/>
  <c r="F263" i="4"/>
  <c r="F224" i="4"/>
  <c r="C220" i="1"/>
  <c r="C1518" i="1"/>
  <c r="I35" i="3"/>
  <c r="F567" i="4"/>
  <c r="C561" i="1"/>
  <c r="H1383" i="1"/>
  <c r="G1383" i="1"/>
  <c r="H562" i="1"/>
  <c r="G562" i="1"/>
  <c r="F351" i="4"/>
  <c r="D350" i="4"/>
  <c r="C346" i="1"/>
  <c r="C78" i="1"/>
  <c r="F82" i="4"/>
  <c r="H509" i="1"/>
  <c r="G509" i="1"/>
  <c r="G392" i="1"/>
  <c r="H392" i="1"/>
  <c r="D151" i="4"/>
  <c r="E68" i="5"/>
  <c r="D1047" i="1"/>
  <c r="F472" i="4"/>
  <c r="C466" i="1"/>
  <c r="F299" i="4"/>
  <c r="D298" i="4"/>
  <c r="C294" i="1"/>
  <c r="C1517" i="1"/>
  <c r="K1451" i="9"/>
  <c r="G314" i="9"/>
  <c r="E314" i="9" s="1"/>
  <c r="B314" i="9" s="1"/>
  <c r="I34" i="3"/>
  <c r="H1470" i="1"/>
  <c r="G1470" i="1"/>
  <c r="G310" i="9"/>
  <c r="E310" i="9" s="1"/>
  <c r="B310" i="9" s="1"/>
  <c r="F190" i="5"/>
  <c r="C1167" i="1"/>
  <c r="F363" i="4"/>
  <c r="C358" i="1"/>
  <c r="I25" i="3"/>
  <c r="D1329" i="1"/>
  <c r="D237" i="5"/>
  <c r="C1215" i="1"/>
  <c r="F238" i="5"/>
  <c r="D159" i="1"/>
  <c r="F163" i="4"/>
  <c r="C1329" i="1"/>
  <c r="H25" i="3"/>
  <c r="F35" i="6"/>
  <c r="C522" i="1"/>
  <c r="I27" i="3"/>
  <c r="D1408" i="1"/>
  <c r="G523" i="1"/>
  <c r="H523" i="1"/>
  <c r="E151" i="4"/>
  <c r="H496" i="1"/>
  <c r="G496" i="1"/>
  <c r="H295" i="1"/>
  <c r="G295" i="1"/>
  <c r="E141" i="6"/>
  <c r="F459" i="4"/>
  <c r="C453" i="1"/>
  <c r="F139" i="4"/>
  <c r="C135" i="1"/>
  <c r="H1322" i="1"/>
  <c r="G1322" i="1"/>
  <c r="F593" i="4"/>
  <c r="F396" i="4"/>
  <c r="C391" i="1"/>
  <c r="I1451" i="1"/>
  <c r="E166" i="9"/>
  <c r="B166" i="9" s="1"/>
  <c r="H19" i="9"/>
  <c r="E19" i="9" s="1"/>
  <c r="B19" i="9" s="1"/>
  <c r="G313" i="9"/>
  <c r="E313" i="9" s="1"/>
  <c r="D1453" i="1"/>
  <c r="I30" i="3"/>
  <c r="D293" i="1"/>
  <c r="E407" i="4"/>
  <c r="D402" i="1" s="1"/>
  <c r="B21" i="9"/>
  <c r="E7" i="5"/>
  <c r="D990" i="1"/>
  <c r="F134" i="5"/>
  <c r="C1112" i="1"/>
  <c r="D415" i="1"/>
  <c r="E420" i="4"/>
  <c r="H1388" i="1"/>
  <c r="G1388" i="1"/>
  <c r="H1376" i="1"/>
  <c r="G1376" i="1"/>
  <c r="H1048" i="1"/>
  <c r="G1048" i="1"/>
  <c r="H378" i="1"/>
  <c r="G378" i="1"/>
  <c r="F7" i="5"/>
  <c r="D6" i="5"/>
  <c r="C985" i="1"/>
  <c r="H20" i="3"/>
  <c r="D420" i="4"/>
  <c r="D636" i="4" s="1"/>
  <c r="F421" i="4"/>
  <c r="C415" i="1"/>
  <c r="F106" i="4"/>
  <c r="C102" i="1"/>
  <c r="G467" i="1"/>
  <c r="H467" i="1"/>
  <c r="C1453" i="1"/>
  <c r="D5" i="7"/>
  <c r="H30" i="3"/>
  <c r="H1096" i="1"/>
  <c r="G1096" i="1"/>
  <c r="F12" i="5"/>
  <c r="H1524" i="1"/>
  <c r="G1524" i="1"/>
  <c r="E528" i="4"/>
  <c r="F528" i="4" s="1"/>
  <c r="F50" i="4"/>
  <c r="C46" i="1"/>
  <c r="C630" i="1" l="1"/>
  <c r="E312" i="9"/>
  <c r="B313" i="9"/>
  <c r="H453" i="1"/>
  <c r="G453" i="1"/>
  <c r="G159" i="1"/>
  <c r="H159" i="1"/>
  <c r="H1167" i="1"/>
  <c r="G1167" i="1"/>
  <c r="G1517" i="1"/>
  <c r="H1517" i="1"/>
  <c r="H415" i="1"/>
  <c r="G415" i="1"/>
  <c r="G985" i="1"/>
  <c r="E6" i="5"/>
  <c r="I20" i="3"/>
  <c r="D985" i="1"/>
  <c r="H985" i="1" s="1"/>
  <c r="H391" i="1"/>
  <c r="G391" i="1"/>
  <c r="H294" i="1"/>
  <c r="G294" i="1"/>
  <c r="G1518" i="1"/>
  <c r="H1518" i="1"/>
  <c r="G259" i="1"/>
  <c r="H259" i="1"/>
  <c r="H574" i="1"/>
  <c r="G574" i="1"/>
  <c r="G1183" i="1"/>
  <c r="H1183" i="1"/>
  <c r="H3" i="1"/>
  <c r="G3" i="1"/>
  <c r="G1453" i="1"/>
  <c r="H1453" i="1"/>
  <c r="H990" i="1"/>
  <c r="G990" i="1"/>
  <c r="G46" i="1"/>
  <c r="H46" i="1"/>
  <c r="H135" i="1"/>
  <c r="G135" i="1"/>
  <c r="I28" i="3"/>
  <c r="D1435" i="1"/>
  <c r="H1408" i="1"/>
  <c r="G1408" i="1"/>
  <c r="H1329" i="1"/>
  <c r="G1329" i="1"/>
  <c r="H9" i="3"/>
  <c r="H1215" i="1"/>
  <c r="G1215" i="1"/>
  <c r="H358" i="1"/>
  <c r="G358" i="1"/>
  <c r="D407" i="4"/>
  <c r="F298" i="4"/>
  <c r="C293" i="1"/>
  <c r="H1047" i="1"/>
  <c r="G1047" i="1"/>
  <c r="H78" i="1"/>
  <c r="G78" i="1"/>
  <c r="H561" i="1"/>
  <c r="G561" i="1"/>
  <c r="H220" i="1"/>
  <c r="G220" i="1"/>
  <c r="H638" i="1"/>
  <c r="G638" i="1"/>
  <c r="D412" i="4"/>
  <c r="F6" i="4"/>
  <c r="C2" i="1"/>
  <c r="H16" i="3"/>
  <c r="H306" i="1"/>
  <c r="G306" i="1"/>
  <c r="F68" i="5"/>
  <c r="H21" i="3"/>
  <c r="C1046" i="1"/>
  <c r="H1222" i="1"/>
  <c r="G1222" i="1"/>
  <c r="H1423" i="1"/>
  <c r="G1423" i="1"/>
  <c r="F141" i="6"/>
  <c r="G278" i="9"/>
  <c r="F6" i="5"/>
  <c r="C984" i="1"/>
  <c r="H1112" i="1"/>
  <c r="G1112" i="1"/>
  <c r="G316" i="9"/>
  <c r="E316" i="9" s="1"/>
  <c r="C1436" i="1"/>
  <c r="H29" i="3"/>
  <c r="G102" i="1"/>
  <c r="H102" i="1"/>
  <c r="D635" i="4"/>
  <c r="F420" i="4"/>
  <c r="C414" i="1"/>
  <c r="E289" i="4"/>
  <c r="I17" i="3"/>
  <c r="D147" i="1"/>
  <c r="C1214" i="1"/>
  <c r="H23" i="3"/>
  <c r="F237" i="5"/>
  <c r="I21" i="3"/>
  <c r="D1046" i="1"/>
  <c r="H346" i="1"/>
  <c r="G346" i="1"/>
  <c r="H1469" i="1"/>
  <c r="G1469" i="1"/>
  <c r="H248" i="1"/>
  <c r="G248" i="1"/>
  <c r="H1065" i="1"/>
  <c r="G1065" i="1"/>
  <c r="H1056" i="1"/>
  <c r="G1056" i="1"/>
  <c r="H478" i="1"/>
  <c r="G478" i="1"/>
  <c r="H11" i="3"/>
  <c r="H1435" i="1"/>
  <c r="G1435" i="1"/>
  <c r="D175" i="5"/>
  <c r="D522" i="1"/>
  <c r="H522" i="1" s="1"/>
  <c r="E636" i="4"/>
  <c r="D630" i="1" s="1"/>
  <c r="E635" i="4"/>
  <c r="D629" i="1" s="1"/>
  <c r="D414" i="1"/>
  <c r="H466" i="1"/>
  <c r="G466" i="1"/>
  <c r="F151" i="4"/>
  <c r="D289" i="4"/>
  <c r="H17" i="3"/>
  <c r="C147" i="1"/>
  <c r="F350" i="4"/>
  <c r="D408" i="4"/>
  <c r="C345" i="1"/>
  <c r="H1124" i="1"/>
  <c r="G1124" i="1"/>
  <c r="E412" i="4"/>
  <c r="E290" i="4"/>
  <c r="D286" i="1" s="1"/>
  <c r="I16" i="3"/>
  <c r="D2" i="1"/>
  <c r="H637" i="1"/>
  <c r="G637" i="1"/>
  <c r="H619" i="1"/>
  <c r="G619" i="1"/>
  <c r="G318" i="9"/>
  <c r="E318" i="9" s="1"/>
  <c r="H1153" i="1"/>
  <c r="G1153" i="1"/>
  <c r="H2" i="1" l="1"/>
  <c r="G2" i="1"/>
  <c r="G522" i="1"/>
  <c r="H147" i="1"/>
  <c r="G147" i="1"/>
  <c r="F635" i="4"/>
  <c r="C629" i="1"/>
  <c r="H1436" i="1"/>
  <c r="G1436" i="1"/>
  <c r="H984" i="1"/>
  <c r="F407" i="4"/>
  <c r="C402" i="1"/>
  <c r="H278" i="9"/>
  <c r="E278" i="9" s="1"/>
  <c r="D984" i="1"/>
  <c r="H8" i="3" s="1"/>
  <c r="N3" i="9"/>
  <c r="I11" i="3"/>
  <c r="E291" i="4"/>
  <c r="D287" i="1" s="1"/>
  <c r="E413" i="4"/>
  <c r="D285" i="1"/>
  <c r="B316" i="9"/>
  <c r="E315" i="9"/>
  <c r="I10" i="3" s="1"/>
  <c r="H1046" i="1"/>
  <c r="G1046" i="1"/>
  <c r="D414" i="4"/>
  <c r="C407" i="1"/>
  <c r="F412" i="4"/>
  <c r="D639" i="4"/>
  <c r="K3" i="9"/>
  <c r="H630" i="1"/>
  <c r="G630" i="1"/>
  <c r="H345" i="1"/>
  <c r="G345" i="1"/>
  <c r="E317" i="9"/>
  <c r="I9" i="3" s="1"/>
  <c r="B318" i="9"/>
  <c r="E639" i="4"/>
  <c r="D407" i="1"/>
  <c r="E414" i="4"/>
  <c r="D409" i="1" s="1"/>
  <c r="F408" i="4"/>
  <c r="C403" i="1"/>
  <c r="F289" i="4"/>
  <c r="D413" i="4"/>
  <c r="D291" i="4"/>
  <c r="C285" i="1"/>
  <c r="C1152" i="1"/>
  <c r="F175" i="5"/>
  <c r="H1214" i="1"/>
  <c r="G1214" i="1"/>
  <c r="H414" i="1"/>
  <c r="G414" i="1"/>
  <c r="G285" i="9"/>
  <c r="E285" i="9" s="1"/>
  <c r="B285" i="9" s="1"/>
  <c r="D290" i="4"/>
  <c r="G293" i="1"/>
  <c r="H293" i="1"/>
  <c r="F636" i="4"/>
  <c r="M3" i="9" l="1"/>
  <c r="E277" i="9"/>
  <c r="I8" i="3" s="1"/>
  <c r="B278" i="9"/>
  <c r="H285" i="1"/>
  <c r="G285" i="1"/>
  <c r="E641" i="4"/>
  <c r="D633" i="1"/>
  <c r="F414" i="4"/>
  <c r="C409" i="1"/>
  <c r="F291" i="4"/>
  <c r="C287" i="1"/>
  <c r="F639" i="4"/>
  <c r="C633" i="1"/>
  <c r="H402" i="1"/>
  <c r="G402" i="1"/>
  <c r="D640" i="4"/>
  <c r="D415" i="4"/>
  <c r="F413" i="4"/>
  <c r="C408" i="1"/>
  <c r="E640" i="4"/>
  <c r="E415" i="4"/>
  <c r="D410" i="1" s="1"/>
  <c r="D408" i="1"/>
  <c r="G984" i="1"/>
  <c r="C286" i="1"/>
  <c r="F290" i="4"/>
  <c r="H403" i="1"/>
  <c r="G403" i="1"/>
  <c r="H1152" i="1"/>
  <c r="G1152" i="1"/>
  <c r="H407" i="1"/>
  <c r="G407" i="1"/>
  <c r="H629" i="1"/>
  <c r="G629" i="1"/>
  <c r="H287" i="1" l="1"/>
  <c r="G287" i="1"/>
  <c r="G286" i="1"/>
  <c r="H286" i="1"/>
  <c r="F415" i="4"/>
  <c r="C410" i="1"/>
  <c r="H633" i="1"/>
  <c r="G633" i="1"/>
  <c r="D635" i="1"/>
  <c r="D634" i="1"/>
  <c r="E642" i="4"/>
  <c r="D642" i="4"/>
  <c r="C634" i="1"/>
  <c r="F640" i="4"/>
  <c r="D641" i="4"/>
  <c r="H409" i="1"/>
  <c r="G409" i="1"/>
  <c r="H408" i="1"/>
  <c r="G408" i="1"/>
  <c r="D645" i="4" l="1"/>
  <c r="F641" i="4"/>
  <c r="C635" i="1"/>
  <c r="G276" i="9"/>
  <c r="E276" i="9" s="1"/>
  <c r="B276" i="9" s="1"/>
  <c r="H634" i="1"/>
  <c r="G634" i="1"/>
  <c r="H410" i="1"/>
  <c r="G410" i="1"/>
  <c r="E646" i="4"/>
  <c r="D636" i="1"/>
  <c r="F642" i="4"/>
  <c r="C636" i="1"/>
  <c r="D646" i="4"/>
  <c r="E645" i="4"/>
  <c r="I18" i="3" l="1"/>
  <c r="D639" i="1"/>
  <c r="H635" i="1"/>
  <c r="G635" i="1"/>
  <c r="H636" i="1"/>
  <c r="G636" i="1"/>
  <c r="F646" i="4"/>
  <c r="C640" i="1"/>
  <c r="H19" i="3"/>
  <c r="I19" i="3"/>
  <c r="D640" i="1"/>
  <c r="F645" i="4"/>
  <c r="H18" i="3"/>
  <c r="C639" i="1"/>
  <c r="H639" i="1" l="1"/>
  <c r="G639" i="1"/>
  <c r="H7" i="3"/>
  <c r="H640" i="1"/>
  <c r="G640" i="1"/>
  <c r="J3" i="9" l="1"/>
  <c r="M272" i="9" l="1"/>
  <c r="G274" i="9"/>
  <c r="E274" i="9" s="1"/>
  <c r="H274" i="9"/>
  <c r="L272" i="9"/>
  <c r="F272" i="9" s="1"/>
  <c r="G18" i="9"/>
  <c r="E18" i="9" s="1"/>
  <c r="B18" i="9" s="1"/>
  <c r="H18" i="9"/>
  <c r="J8" i="9"/>
  <c r="G15" i="9"/>
  <c r="J5" i="9"/>
  <c r="L16" i="9"/>
  <c r="J6" i="9"/>
  <c r="I11" i="9"/>
  <c r="H17" i="9"/>
  <c r="K6" i="9"/>
  <c r="J11" i="9"/>
  <c r="I17" i="9"/>
  <c r="J9" i="9"/>
  <c r="H15" i="9"/>
  <c r="J10" i="9"/>
  <c r="I13" i="9"/>
  <c r="I9" i="9"/>
  <c r="H16" i="9"/>
  <c r="I6" i="9"/>
  <c r="E6" i="9" s="1"/>
  <c r="B6" i="9" s="1"/>
  <c r="K12" i="9"/>
  <c r="G17" i="9"/>
  <c r="I7" i="9"/>
  <c r="K13" i="9"/>
  <c r="J7" i="9"/>
  <c r="I12" i="9"/>
  <c r="K5" i="9"/>
  <c r="I5" i="9"/>
  <c r="K11" i="9"/>
  <c r="J17" i="9"/>
  <c r="K8" i="9"/>
  <c r="J13" i="9"/>
  <c r="K9" i="9"/>
  <c r="L15" i="9"/>
  <c r="I8" i="9"/>
  <c r="M15" i="9"/>
  <c r="M16" i="9"/>
  <c r="K10" i="9"/>
  <c r="G16" i="9"/>
  <c r="E16" i="9" s="1"/>
  <c r="K7" i="9"/>
  <c r="J12" i="9"/>
  <c r="E8" i="9" l="1"/>
  <c r="B8" i="9" s="1"/>
  <c r="E15" i="9"/>
  <c r="E13" i="9"/>
  <c r="B13" i="9" s="1"/>
  <c r="F15" i="9"/>
  <c r="B272" i="9"/>
  <c r="F20" i="9"/>
  <c r="E5" i="9"/>
  <c r="E10" i="9"/>
  <c r="B10" i="9" s="1"/>
  <c r="E11" i="9"/>
  <c r="B11" i="9" s="1"/>
  <c r="E7" i="9"/>
  <c r="B7" i="9" s="1"/>
  <c r="F16" i="9"/>
  <c r="B16" i="9" s="1"/>
  <c r="B274" i="9"/>
  <c r="E20" i="9"/>
  <c r="I7" i="3" s="1"/>
  <c r="E12" i="9"/>
  <c r="B12" i="9" s="1"/>
  <c r="E17" i="9"/>
  <c r="B17" i="9" s="1"/>
  <c r="E9" i="9"/>
  <c r="B9" i="9" s="1"/>
  <c r="B15" i="9" l="1"/>
  <c r="F14" i="9"/>
  <c r="F3" i="9" s="1"/>
  <c r="E14" i="9"/>
  <c r="B5" i="9"/>
  <c r="E4" i="9"/>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<sst xmlns="http://schemas.openxmlformats.org/spreadsheetml/2006/main" count="5184" uniqueCount="3454">
  <si>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</si>
  <si>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</si>
  <si>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</si>
  <si>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</si>
  <si>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</si>
  <si>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</si>
  <si>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</si>
  <si>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</si>
  <si>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</si>
  <si>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</si>
  <si>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</si>
  <si>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</si>
  <si>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</si>
  <si>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</si>
  <si>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</si>
  <si>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</si>
  <si>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</si>
  <si>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</si>
  <si>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</si>
  <si>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</si>
  <si>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</si>
  <si>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</si>
  <si>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</si>
  <si>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</si>
  <si>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</si>
  <si>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</si>
  <si>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</si>
  <si>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</si>
  <si>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</si>
  <si>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</si>
  <si>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</si>
  <si>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RAKOVEC</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</si>
  <si>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</si>
  <si>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</si>
  <si>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</si>
  <si>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</si>
  <si>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</si>
  <si>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</si>
  <si>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</si>
  <si>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</si>
  <si>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</si>
  <si>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</si>
  <si>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</si>
  <si>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</si>
  <si>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</si>
  <si>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</si>
  <si>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</si>
  <si>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</si>
  <si>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</si>
  <si>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26215 - OPĆINA RAKOVEC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</si>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</sst>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xf numFmtId="0" fontId="60" fillId="0" borderId="0" applyNumberFormat="0" applyBorder="0" applyAlignment="0"/>
    <xf numFmtId="0" fontId="60" fillId="0" borderId="0" applyNumberFormat="0" applyBorder="0" applyAlignment="0"/>
    <xf numFmtId="0" fontId="60" fillId="0" borderId="0" applyNumberFormat="0" applyBorder="0" applyAlignment="0"/>
  </cellStyleXfs>
  <cellXfs count="357">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167" fontId="30" fillId="0" borderId="78" xfId="0" applyNumberFormat="1" applyFont="1" applyBorder="1" applyAlignment="1">
      <alignment horizontal="right" vertical="center"/>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17" fillId="0" borderId="29" xfId="0" applyNumberFormat="1" applyFont="1" applyBorder="1" applyAlignment="1">
      <alignment horizontal="right" vertical="top" shrinkToFit="1"/>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lignment horizontal="right" vertical="center" shrinkToFit="1"/>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50" fillId="0" borderId="0" xfId="0" applyFont="1" applyAlignment="1">
      <alignment horizontal="center" wrapText="1"/>
    </xf>
    <xf numFmtId="0" fontId="51"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817409.36</v>
      </c>
      <c r="D2" s="9">
        <f>'PR-RAS'!E6</f>
        <v>849516.2</v>
      </c>
      <c r="E2" s="9">
        <v>0</v>
      </c>
      <c r="F2" s="9">
        <v>0</v>
      </c>
      <c r="G2" s="10">
        <f t="shared" ref="G2:G65" si="0">(B2/1000)*(C2*1+D2*2)</f>
        <v>2516.4417599999997</v>
      </c>
      <c r="H2" s="10">
        <f t="shared" ref="H2:H65" si="1">ABS(C2-ROUND(C2,0))+ABS(D2-ROUND(D2,0))</f>
        <v>0.55999999993946403</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261718.22</v>
      </c>
      <c r="D3" s="4">
        <f>'PR-RAS'!E7</f>
        <v>326937.48</v>
      </c>
      <c r="E3" s="4">
        <v>0</v>
      </c>
      <c r="F3" s="4">
        <v>0</v>
      </c>
      <c r="G3" s="5">
        <f t="shared" si="0"/>
        <v>1831.1863599999999</v>
      </c>
      <c r="H3" s="5">
        <f t="shared" si="1"/>
        <v>0.6999999999825377</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244621.44</v>
      </c>
      <c r="D4" s="4">
        <f>'PR-RAS'!E8</f>
        <v>317278.27999999997</v>
      </c>
      <c r="E4" s="4">
        <v>0</v>
      </c>
      <c r="F4" s="4">
        <v>0</v>
      </c>
      <c r="G4" s="5">
        <f t="shared" si="0"/>
        <v>2637.5340000000001</v>
      </c>
      <c r="H4" s="5">
        <f t="shared" si="1"/>
        <v>0.71999999997206032</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271483.05</v>
      </c>
      <c r="D5" s="4">
        <f>'PR-RAS'!E9</f>
        <v>309246.63</v>
      </c>
      <c r="E5" s="4">
        <v>0</v>
      </c>
      <c r="F5" s="4">
        <v>0</v>
      </c>
      <c r="G5" s="5">
        <f t="shared" si="0"/>
        <v>3559.9052400000005</v>
      </c>
      <c r="H5" s="5">
        <f t="shared" si="1"/>
        <v>0.41999999998370185</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27878.16</v>
      </c>
      <c r="E6" s="4">
        <v>0</v>
      </c>
      <c r="F6" s="4">
        <v>0</v>
      </c>
      <c r="G6" s="5">
        <f t="shared" si="0"/>
        <v>278.78160000000003</v>
      </c>
      <c r="H6" s="5">
        <f t="shared" si="1"/>
        <v>0.15999999999985448</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7260.55</v>
      </c>
      <c r="E7" s="4">
        <v>0</v>
      </c>
      <c r="F7" s="4">
        <v>0</v>
      </c>
      <c r="G7" s="5">
        <f t="shared" si="0"/>
        <v>87.12660000000001</v>
      </c>
      <c r="H7" s="5">
        <f t="shared" si="1"/>
        <v>0.4499999999998181</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17157.7</v>
      </c>
      <c r="E8" s="4">
        <v>0</v>
      </c>
      <c r="F8" s="4">
        <v>0</v>
      </c>
      <c r="G8" s="5">
        <f t="shared" si="0"/>
        <v>240.20780000000002</v>
      </c>
      <c r="H8" s="5">
        <f t="shared" si="1"/>
        <v>0.2999999999992724</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26861.61</v>
      </c>
      <c r="D11" s="4">
        <f>'PR-RAS'!E15</f>
        <v>44264.76</v>
      </c>
      <c r="E11" s="4">
        <v>0</v>
      </c>
      <c r="F11" s="4">
        <v>0</v>
      </c>
      <c r="G11" s="5">
        <f t="shared" si="0"/>
        <v>1153.9113</v>
      </c>
      <c r="H11" s="5">
        <f t="shared" si="1"/>
        <v>0.62999999999738066</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16522.18</v>
      </c>
      <c r="D19" s="4">
        <f>'PR-RAS'!E23</f>
        <v>9180.2999999999993</v>
      </c>
      <c r="E19" s="4">
        <v>0</v>
      </c>
      <c r="F19" s="4">
        <v>0</v>
      </c>
      <c r="G19" s="5">
        <f t="shared" si="0"/>
        <v>627.89003999999989</v>
      </c>
      <c r="H19" s="5">
        <f t="shared" si="1"/>
        <v>0.47999999999956344</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1440.98</v>
      </c>
      <c r="D20" s="4">
        <f>'PR-RAS'!E24</f>
        <v>1334.3</v>
      </c>
      <c r="E20" s="4">
        <v>0</v>
      </c>
      <c r="F20" s="4">
        <v>0</v>
      </c>
      <c r="G20" s="5">
        <f t="shared" si="0"/>
        <v>78.08202</v>
      </c>
      <c r="H20" s="5">
        <f t="shared" si="1"/>
        <v>0.31999999999993634</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15081.2</v>
      </c>
      <c r="D23" s="4">
        <f>'PR-RAS'!E27</f>
        <v>7846</v>
      </c>
      <c r="E23" s="4">
        <v>0</v>
      </c>
      <c r="F23" s="4">
        <v>0</v>
      </c>
      <c r="G23" s="5">
        <f t="shared" si="0"/>
        <v>677.0104</v>
      </c>
      <c r="H23" s="5">
        <f t="shared" si="1"/>
        <v>0.2000000000007276</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574.6</v>
      </c>
      <c r="D25" s="4">
        <f>'PR-RAS'!E29</f>
        <v>478.9</v>
      </c>
      <c r="E25" s="4">
        <v>0</v>
      </c>
      <c r="F25" s="4">
        <v>0</v>
      </c>
      <c r="G25" s="5">
        <f t="shared" si="0"/>
        <v>36.7776</v>
      </c>
      <c r="H25" s="5">
        <f t="shared" si="1"/>
        <v>0.5</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574.6</v>
      </c>
      <c r="D27" s="4">
        <f>'PR-RAS'!E31</f>
        <v>478.9</v>
      </c>
      <c r="E27" s="4">
        <v>0</v>
      </c>
      <c r="F27" s="4">
        <v>0</v>
      </c>
      <c r="G27" s="5">
        <f t="shared" si="0"/>
        <v>39.842399999999998</v>
      </c>
      <c r="H27" s="5">
        <f t="shared" si="1"/>
        <v>0.5</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61"/>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61"/>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61"/>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61"/>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61"/>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521877.81</v>
      </c>
      <c r="D46" s="4">
        <f>'PR-RAS'!E50</f>
        <v>492376.5</v>
      </c>
      <c r="E46" s="4">
        <v>0</v>
      </c>
      <c r="F46" s="4">
        <v>0</v>
      </c>
      <c r="G46" s="5">
        <f t="shared" si="0"/>
        <v>67798.386450000005</v>
      </c>
      <c r="H46" s="5">
        <f t="shared" si="1"/>
        <v>0.69000000000232831</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392052</v>
      </c>
      <c r="D55" s="4">
        <f>'PR-RAS'!E59</f>
        <v>492376.5</v>
      </c>
      <c r="E55" s="4">
        <v>0</v>
      </c>
      <c r="F55" s="4">
        <v>0</v>
      </c>
      <c r="G55" s="5">
        <f t="shared" si="0"/>
        <v>74347.47</v>
      </c>
      <c r="H55" s="5">
        <f t="shared" si="1"/>
        <v>0.5</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238991</v>
      </c>
      <c r="D56" s="4">
        <f>'PR-RAS'!E60</f>
        <v>249009.56</v>
      </c>
      <c r="E56" s="4">
        <v>0</v>
      </c>
      <c r="F56" s="4">
        <v>0</v>
      </c>
      <c r="G56" s="5">
        <f t="shared" si="0"/>
        <v>40535.556600000004</v>
      </c>
      <c r="H56" s="5">
        <f t="shared" si="1"/>
        <v>0.44000000000232831</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153061</v>
      </c>
      <c r="D57" s="4">
        <f>'PR-RAS'!E61</f>
        <v>243366.94</v>
      </c>
      <c r="E57" s="4">
        <v>0</v>
      </c>
      <c r="F57" s="4">
        <v>0</v>
      </c>
      <c r="G57" s="5">
        <f t="shared" si="0"/>
        <v>35828.513279999999</v>
      </c>
      <c r="H57" s="5">
        <f t="shared" si="1"/>
        <v>5.9999999997671694E-2</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0</v>
      </c>
      <c r="D64" s="4">
        <f>'PR-RAS'!E68</f>
        <v>0</v>
      </c>
      <c r="E64" s="4">
        <v>0</v>
      </c>
      <c r="F64" s="4">
        <v>0</v>
      </c>
      <c r="G64" s="5">
        <f t="shared" si="0"/>
        <v>0</v>
      </c>
      <c r="H64" s="5">
        <f t="shared" si="1"/>
        <v>0</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129825.81</v>
      </c>
      <c r="D70" s="4">
        <f>'PR-RAS'!E74</f>
        <v>0</v>
      </c>
      <c r="E70" s="4">
        <v>0</v>
      </c>
      <c r="F70" s="4">
        <v>0</v>
      </c>
      <c r="G70" s="5">
        <f t="shared" si="2"/>
        <v>8957.9808900000007</v>
      </c>
      <c r="H70" s="5">
        <f t="shared" si="3"/>
        <v>0.19000000000232831</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129825.81</v>
      </c>
      <c r="D72" s="4">
        <f>'PR-RAS'!E76</f>
        <v>0</v>
      </c>
      <c r="E72" s="4">
        <v>0</v>
      </c>
      <c r="F72" s="4">
        <v>0</v>
      </c>
      <c r="G72" s="5">
        <f t="shared" si="2"/>
        <v>9217.6325099999995</v>
      </c>
      <c r="H72" s="5">
        <f t="shared" si="3"/>
        <v>0.19000000000232831</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5821.2199999999993</v>
      </c>
      <c r="D78" s="4">
        <f>'PR-RAS'!E82</f>
        <v>5971.9000000000005</v>
      </c>
      <c r="E78" s="4">
        <v>0</v>
      </c>
      <c r="F78" s="4">
        <v>0</v>
      </c>
      <c r="G78" s="5">
        <f t="shared" si="2"/>
        <v>1367.9065399999999</v>
      </c>
      <c r="H78" s="5">
        <f t="shared" si="3"/>
        <v>0.31999999999879947</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4.54</v>
      </c>
      <c r="D79" s="4">
        <f>'PR-RAS'!E83</f>
        <v>5.37</v>
      </c>
      <c r="E79" s="4">
        <v>0</v>
      </c>
      <c r="F79" s="4">
        <v>0</v>
      </c>
      <c r="G79" s="5">
        <f t="shared" si="2"/>
        <v>1.19184</v>
      </c>
      <c r="H79" s="5">
        <f t="shared" si="3"/>
        <v>0.83000000000000007</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4.54</v>
      </c>
      <c r="D81" s="4">
        <f>'PR-RAS'!E85</f>
        <v>5.37</v>
      </c>
      <c r="E81" s="4">
        <v>0</v>
      </c>
      <c r="F81" s="4">
        <v>0</v>
      </c>
      <c r="G81" s="5">
        <f t="shared" si="2"/>
        <v>1.2224000000000002</v>
      </c>
      <c r="H81" s="5">
        <f t="shared" si="3"/>
        <v>0.83000000000000007</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5816.6799999999994</v>
      </c>
      <c r="D87" s="4">
        <f>'PR-RAS'!E91</f>
        <v>5966.5300000000007</v>
      </c>
      <c r="E87" s="4">
        <v>0</v>
      </c>
      <c r="F87" s="4">
        <v>0</v>
      </c>
      <c r="G87" s="5">
        <f t="shared" si="2"/>
        <v>1526.4776400000001</v>
      </c>
      <c r="H87" s="5">
        <f t="shared" si="3"/>
        <v>0.78999999999996362</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2986.43</v>
      </c>
      <c r="D88" s="4">
        <f>'PR-RAS'!E92</f>
        <v>5805.76</v>
      </c>
      <c r="E88" s="4">
        <v>0</v>
      </c>
      <c r="F88" s="4">
        <v>0</v>
      </c>
      <c r="G88" s="5">
        <f t="shared" si="2"/>
        <v>1270.0216499999999</v>
      </c>
      <c r="H88" s="5">
        <f t="shared" si="3"/>
        <v>0.66999999999961801</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2829.52</v>
      </c>
      <c r="D89" s="4">
        <f>'PR-RAS'!E93</f>
        <v>159.16999999999999</v>
      </c>
      <c r="E89" s="4">
        <v>0</v>
      </c>
      <c r="F89" s="4">
        <v>0</v>
      </c>
      <c r="G89" s="5">
        <f t="shared" si="2"/>
        <v>277.01168000000001</v>
      </c>
      <c r="H89" s="5">
        <f t="shared" si="3"/>
        <v>0.65000000000000568</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0.73</v>
      </c>
      <c r="D90" s="4">
        <f>'PR-RAS'!E94</f>
        <v>1.6</v>
      </c>
      <c r="E90" s="4">
        <v>0</v>
      </c>
      <c r="F90" s="4">
        <v>0</v>
      </c>
      <c r="G90" s="5">
        <f t="shared" si="2"/>
        <v>0.34977000000000003</v>
      </c>
      <c r="H90" s="5">
        <f t="shared" si="3"/>
        <v>0.66999999999999993</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27992.11</v>
      </c>
      <c r="D102" s="4">
        <f>'PR-RAS'!E106</f>
        <v>24230.32</v>
      </c>
      <c r="E102" s="4">
        <v>0</v>
      </c>
      <c r="F102" s="4">
        <v>0</v>
      </c>
      <c r="G102" s="5">
        <f t="shared" si="2"/>
        <v>7721.7277500000009</v>
      </c>
      <c r="H102" s="5">
        <f t="shared" si="3"/>
        <v>0.43000000000029104</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185.25</v>
      </c>
      <c r="D103" s="4">
        <f>'PR-RAS'!E107</f>
        <v>0</v>
      </c>
      <c r="E103" s="4">
        <v>0</v>
      </c>
      <c r="F103" s="4">
        <v>0</v>
      </c>
      <c r="G103" s="5">
        <f t="shared" si="2"/>
        <v>18.895499999999998</v>
      </c>
      <c r="H103" s="5">
        <f t="shared" si="3"/>
        <v>0.25</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185.25</v>
      </c>
      <c r="D107" s="4">
        <f>'PR-RAS'!E111</f>
        <v>0</v>
      </c>
      <c r="E107" s="4">
        <v>0</v>
      </c>
      <c r="F107" s="4">
        <v>0</v>
      </c>
      <c r="G107" s="5">
        <f t="shared" si="2"/>
        <v>19.636499999999998</v>
      </c>
      <c r="H107" s="5">
        <f t="shared" si="3"/>
        <v>0.25</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141.99</v>
      </c>
      <c r="D108" s="4">
        <f>'PR-RAS'!E112</f>
        <v>133.29</v>
      </c>
      <c r="E108" s="4">
        <v>0</v>
      </c>
      <c r="F108" s="4">
        <v>0</v>
      </c>
      <c r="G108" s="5">
        <f t="shared" si="2"/>
        <v>43.716989999999996</v>
      </c>
      <c r="H108" s="5">
        <f t="shared" si="3"/>
        <v>0.29999999999998295</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141.99</v>
      </c>
      <c r="D110" s="4">
        <f>'PR-RAS'!E114</f>
        <v>133.29</v>
      </c>
      <c r="E110" s="4">
        <v>0</v>
      </c>
      <c r="F110" s="4">
        <v>0</v>
      </c>
      <c r="G110" s="5">
        <f t="shared" si="2"/>
        <v>44.534129999999998</v>
      </c>
      <c r="H110" s="5">
        <f t="shared" si="3"/>
        <v>0.29999999999998295</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0</v>
      </c>
      <c r="D113" s="4">
        <f>'PR-RAS'!E117</f>
        <v>0</v>
      </c>
      <c r="E113" s="4">
        <v>0</v>
      </c>
      <c r="F113" s="4">
        <v>0</v>
      </c>
      <c r="G113" s="5">
        <f t="shared" si="2"/>
        <v>0</v>
      </c>
      <c r="H113" s="5">
        <f t="shared" si="3"/>
        <v>0</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27664.87</v>
      </c>
      <c r="D116" s="4">
        <f>'PR-RAS'!E120</f>
        <v>24097.03</v>
      </c>
      <c r="E116" s="4">
        <v>0</v>
      </c>
      <c r="F116" s="4">
        <v>0</v>
      </c>
      <c r="G116" s="5">
        <f t="shared" si="2"/>
        <v>8723.7769499999995</v>
      </c>
      <c r="H116" s="5">
        <f t="shared" si="3"/>
        <v>0.15999999999985448</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2631.77</v>
      </c>
      <c r="D117" s="4">
        <f>'PR-RAS'!E121</f>
        <v>1517.93</v>
      </c>
      <c r="E117" s="4">
        <v>0</v>
      </c>
      <c r="F117" s="4">
        <v>0</v>
      </c>
      <c r="G117" s="5">
        <f t="shared" si="2"/>
        <v>657.44508000000008</v>
      </c>
      <c r="H117" s="5">
        <f t="shared" si="3"/>
        <v>0.29999999999995453</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25033.1</v>
      </c>
      <c r="D118" s="4">
        <f>'PR-RAS'!E122</f>
        <v>22579.1</v>
      </c>
      <c r="E118" s="4">
        <v>0</v>
      </c>
      <c r="F118" s="4">
        <v>0</v>
      </c>
      <c r="G118" s="5">
        <f t="shared" si="2"/>
        <v>8212.3820999999989</v>
      </c>
      <c r="H118" s="5">
        <f t="shared" si="3"/>
        <v>0.19999999999708962</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0</v>
      </c>
      <c r="D120" s="4">
        <f>'PR-RAS'!E124</f>
        <v>0</v>
      </c>
      <c r="E120" s="4">
        <v>0</v>
      </c>
      <c r="F120" s="4">
        <v>0</v>
      </c>
      <c r="G120" s="5">
        <f t="shared" si="2"/>
        <v>0</v>
      </c>
      <c r="H120" s="5">
        <f t="shared" si="3"/>
        <v>0</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0</v>
      </c>
      <c r="D121" s="4">
        <f>'PR-RAS'!E125</f>
        <v>0</v>
      </c>
      <c r="E121" s="4">
        <v>0</v>
      </c>
      <c r="F121" s="4">
        <v>0</v>
      </c>
      <c r="G121" s="5">
        <f t="shared" si="2"/>
        <v>0</v>
      </c>
      <c r="H121" s="5">
        <f t="shared" si="3"/>
        <v>0</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0</v>
      </c>
      <c r="D123" s="4">
        <f>'PR-RAS'!E127</f>
        <v>0</v>
      </c>
      <c r="E123" s="4">
        <v>0</v>
      </c>
      <c r="F123" s="4">
        <v>0</v>
      </c>
      <c r="G123" s="5">
        <f t="shared" si="2"/>
        <v>0</v>
      </c>
      <c r="H123" s="5">
        <f t="shared" si="3"/>
        <v>0</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0</v>
      </c>
      <c r="D124" s="4">
        <f>'PR-RAS'!E128</f>
        <v>0</v>
      </c>
      <c r="E124" s="4">
        <v>0</v>
      </c>
      <c r="F124" s="4">
        <v>0</v>
      </c>
      <c r="G124" s="5">
        <f t="shared" si="2"/>
        <v>0</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0</v>
      </c>
      <c r="E125" s="4">
        <v>0</v>
      </c>
      <c r="F125" s="4">
        <v>0</v>
      </c>
      <c r="G125" s="5">
        <f t="shared" si="2"/>
        <v>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491820.43</v>
      </c>
      <c r="D147" s="4">
        <f>'PR-RAS'!E151</f>
        <v>561636.31000000006</v>
      </c>
      <c r="E147" s="4">
        <v>0</v>
      </c>
      <c r="F147" s="4">
        <v>0</v>
      </c>
      <c r="G147" s="5">
        <f t="shared" si="4"/>
        <v>235803.58530000001</v>
      </c>
      <c r="H147" s="5">
        <f t="shared" si="5"/>
        <v>0.74000000004889444</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63284.75</v>
      </c>
      <c r="D148" s="4">
        <f>'PR-RAS'!E152</f>
        <v>89855.74</v>
      </c>
      <c r="E148" s="4">
        <v>0</v>
      </c>
      <c r="F148" s="4">
        <v>0</v>
      </c>
      <c r="G148" s="5">
        <f t="shared" si="4"/>
        <v>35720.445809999997</v>
      </c>
      <c r="H148" s="5">
        <f t="shared" si="5"/>
        <v>0.50999999999476131</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54147.67</v>
      </c>
      <c r="D149" s="4">
        <f>'PR-RAS'!E153</f>
        <v>72713.69</v>
      </c>
      <c r="E149" s="4">
        <v>0</v>
      </c>
      <c r="F149" s="4">
        <v>0</v>
      </c>
      <c r="G149" s="5">
        <f t="shared" si="4"/>
        <v>29537.107399999997</v>
      </c>
      <c r="H149" s="5">
        <f t="shared" si="5"/>
        <v>0.63999999999941792</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54147.67</v>
      </c>
      <c r="D150" s="4">
        <f>'PR-RAS'!E154</f>
        <v>72713.69</v>
      </c>
      <c r="E150" s="4">
        <v>0</v>
      </c>
      <c r="F150" s="4">
        <v>0</v>
      </c>
      <c r="G150" s="5">
        <f t="shared" si="4"/>
        <v>29736.682449999997</v>
      </c>
      <c r="H150" s="5">
        <f t="shared" si="5"/>
        <v>0.63999999999941792</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3192.64</v>
      </c>
      <c r="D154" s="4">
        <f>'PR-RAS'!E158</f>
        <v>7139.08</v>
      </c>
      <c r="E154" s="4">
        <v>0</v>
      </c>
      <c r="F154" s="4">
        <v>0</v>
      </c>
      <c r="G154" s="5">
        <f t="shared" si="4"/>
        <v>2673.0324000000001</v>
      </c>
      <c r="H154" s="5">
        <f t="shared" si="5"/>
        <v>0.44000000000005457</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5944.44</v>
      </c>
      <c r="D155" s="4">
        <f>'PR-RAS'!E159</f>
        <v>10002.969999999999</v>
      </c>
      <c r="E155" s="4">
        <v>0</v>
      </c>
      <c r="F155" s="4">
        <v>0</v>
      </c>
      <c r="G155" s="5">
        <f t="shared" si="4"/>
        <v>3996.3585199999998</v>
      </c>
      <c r="H155" s="5">
        <f t="shared" si="5"/>
        <v>0.47000000000025466</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5944.44</v>
      </c>
      <c r="D157" s="4">
        <f>'PR-RAS'!E161</f>
        <v>10002.969999999999</v>
      </c>
      <c r="E157" s="4">
        <v>0</v>
      </c>
      <c r="F157" s="4">
        <v>0</v>
      </c>
      <c r="G157" s="5">
        <f t="shared" si="4"/>
        <v>4048.2592799999998</v>
      </c>
      <c r="H157" s="5">
        <f t="shared" si="5"/>
        <v>0.47000000000025466</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306120.42</v>
      </c>
      <c r="D159" s="4">
        <f>'PR-RAS'!E163</f>
        <v>262765.88</v>
      </c>
      <c r="E159" s="4">
        <v>0</v>
      </c>
      <c r="F159" s="4">
        <v>0</v>
      </c>
      <c r="G159" s="5">
        <f t="shared" si="4"/>
        <v>131401.04444</v>
      </c>
      <c r="H159" s="5">
        <f t="shared" si="5"/>
        <v>0.53999999997904524</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4793.72</v>
      </c>
      <c r="D160" s="4">
        <f>'PR-RAS'!E164</f>
        <v>5941.99</v>
      </c>
      <c r="E160" s="4">
        <v>0</v>
      </c>
      <c r="F160" s="4">
        <v>0</v>
      </c>
      <c r="G160" s="5">
        <f t="shared" si="4"/>
        <v>2651.7543000000001</v>
      </c>
      <c r="H160" s="5">
        <f t="shared" si="5"/>
        <v>0.28999999999996362</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1400.36</v>
      </c>
      <c r="D161" s="4">
        <f>'PR-RAS'!E165</f>
        <v>1536.34</v>
      </c>
      <c r="E161" s="4">
        <v>0</v>
      </c>
      <c r="F161" s="4">
        <v>0</v>
      </c>
      <c r="G161" s="5">
        <f t="shared" si="4"/>
        <v>715.68640000000005</v>
      </c>
      <c r="H161" s="5">
        <f t="shared" si="5"/>
        <v>0.6999999999998181</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2069.52</v>
      </c>
      <c r="D162" s="4">
        <f>'PR-RAS'!E166</f>
        <v>2235.89</v>
      </c>
      <c r="E162" s="4">
        <v>0</v>
      </c>
      <c r="F162" s="4">
        <v>0</v>
      </c>
      <c r="G162" s="5">
        <f t="shared" si="4"/>
        <v>1053.1492999999998</v>
      </c>
      <c r="H162" s="5">
        <f t="shared" si="5"/>
        <v>0.59000000000014552</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420</v>
      </c>
      <c r="D163" s="4">
        <f>'PR-RAS'!E167</f>
        <v>1037.5</v>
      </c>
      <c r="E163" s="4">
        <v>0</v>
      </c>
      <c r="F163" s="4">
        <v>0</v>
      </c>
      <c r="G163" s="5">
        <f t="shared" si="4"/>
        <v>404.19</v>
      </c>
      <c r="H163" s="5">
        <f t="shared" si="5"/>
        <v>0.5</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903.84</v>
      </c>
      <c r="D164" s="4">
        <f>'PR-RAS'!E168</f>
        <v>1132.26</v>
      </c>
      <c r="E164" s="4">
        <v>0</v>
      </c>
      <c r="F164" s="4">
        <v>0</v>
      </c>
      <c r="G164" s="5">
        <f t="shared" si="4"/>
        <v>516.44268</v>
      </c>
      <c r="H164" s="5">
        <f t="shared" si="5"/>
        <v>0.41999999999995907</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34015.490000000005</v>
      </c>
      <c r="D165" s="4">
        <f>'PR-RAS'!E169</f>
        <v>26949.359999999997</v>
      </c>
      <c r="E165" s="4">
        <v>0</v>
      </c>
      <c r="F165" s="4">
        <v>0</v>
      </c>
      <c r="G165" s="5">
        <f t="shared" si="4"/>
        <v>14417.93044</v>
      </c>
      <c r="H165" s="5">
        <f t="shared" si="5"/>
        <v>0.85000000000218279</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3185.5</v>
      </c>
      <c r="D166" s="4">
        <f>'PR-RAS'!E170</f>
        <v>2341.06</v>
      </c>
      <c r="E166" s="4">
        <v>0</v>
      </c>
      <c r="F166" s="4">
        <v>0</v>
      </c>
      <c r="G166" s="5">
        <f t="shared" si="4"/>
        <v>1298.1573000000001</v>
      </c>
      <c r="H166" s="5">
        <f t="shared" si="5"/>
        <v>0.55999999999994543</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295.68</v>
      </c>
      <c r="D167" s="4">
        <f>'PR-RAS'!E171</f>
        <v>0</v>
      </c>
      <c r="E167" s="4">
        <v>0</v>
      </c>
      <c r="F167" s="4">
        <v>0</v>
      </c>
      <c r="G167" s="5">
        <f t="shared" si="4"/>
        <v>49.082880000000003</v>
      </c>
      <c r="H167" s="5">
        <f t="shared" si="5"/>
        <v>0.31999999999999318</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9352.69</v>
      </c>
      <c r="D168" s="4">
        <f>'PR-RAS'!E172</f>
        <v>9848.14</v>
      </c>
      <c r="E168" s="4">
        <v>0</v>
      </c>
      <c r="F168" s="4">
        <v>0</v>
      </c>
      <c r="G168" s="5">
        <f t="shared" si="4"/>
        <v>4851.1779900000001</v>
      </c>
      <c r="H168" s="5">
        <f t="shared" si="5"/>
        <v>0.44999999999890861</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20667.32</v>
      </c>
      <c r="D169" s="4">
        <f>'PR-RAS'!E173</f>
        <v>13907.81</v>
      </c>
      <c r="E169" s="4">
        <v>0</v>
      </c>
      <c r="F169" s="4">
        <v>0</v>
      </c>
      <c r="G169" s="5">
        <f t="shared" si="4"/>
        <v>8145.1339200000011</v>
      </c>
      <c r="H169" s="5">
        <f t="shared" si="5"/>
        <v>0.51000000000021828</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514.29999999999995</v>
      </c>
      <c r="D170" s="4">
        <f>'PR-RAS'!E174</f>
        <v>822.35</v>
      </c>
      <c r="E170" s="4">
        <v>0</v>
      </c>
      <c r="F170" s="4">
        <v>0</v>
      </c>
      <c r="G170" s="5">
        <f t="shared" si="4"/>
        <v>364.87100000000004</v>
      </c>
      <c r="H170" s="5">
        <f t="shared" si="5"/>
        <v>0.64999999999997726</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0</v>
      </c>
      <c r="D172" s="4">
        <f>'PR-RAS'!E176</f>
        <v>30</v>
      </c>
      <c r="E172" s="4">
        <v>0</v>
      </c>
      <c r="F172" s="4">
        <v>0</v>
      </c>
      <c r="G172" s="5">
        <f t="shared" si="4"/>
        <v>10.260000000000002</v>
      </c>
      <c r="H172" s="5">
        <f t="shared" si="5"/>
        <v>0</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248638.47</v>
      </c>
      <c r="D173" s="4">
        <f>'PR-RAS'!E177</f>
        <v>208798.45</v>
      </c>
      <c r="E173" s="4">
        <v>0</v>
      </c>
      <c r="F173" s="4">
        <v>0</v>
      </c>
      <c r="G173" s="5">
        <f t="shared" si="4"/>
        <v>114592.48363999999</v>
      </c>
      <c r="H173" s="5">
        <f t="shared" si="5"/>
        <v>0.92000000001280569</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4299.01</v>
      </c>
      <c r="D174" s="4">
        <f>'PR-RAS'!E178</f>
        <v>4449.95</v>
      </c>
      <c r="E174" s="4">
        <v>0</v>
      </c>
      <c r="F174" s="4">
        <v>0</v>
      </c>
      <c r="G174" s="5">
        <f t="shared" si="4"/>
        <v>2283.4114299999997</v>
      </c>
      <c r="H174" s="5">
        <f t="shared" si="5"/>
        <v>6.0000000000400178E-2</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186309.86</v>
      </c>
      <c r="D175" s="4">
        <f>'PR-RAS'!E179</f>
        <v>137167.43</v>
      </c>
      <c r="E175" s="4">
        <v>0</v>
      </c>
      <c r="F175" s="4">
        <v>0</v>
      </c>
      <c r="G175" s="5">
        <f t="shared" si="4"/>
        <v>80152.18127999999</v>
      </c>
      <c r="H175" s="5">
        <f t="shared" si="5"/>
        <v>0.57000000000698492</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7752.18</v>
      </c>
      <c r="D176" s="4">
        <f>'PR-RAS'!E180</f>
        <v>14223.99</v>
      </c>
      <c r="E176" s="4">
        <v>0</v>
      </c>
      <c r="F176" s="4">
        <v>0</v>
      </c>
      <c r="G176" s="5">
        <f t="shared" si="4"/>
        <v>6335.0280000000002</v>
      </c>
      <c r="H176" s="5">
        <f t="shared" si="5"/>
        <v>0.19000000000050932</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12954.17</v>
      </c>
      <c r="D177" s="4">
        <f>'PR-RAS'!E181</f>
        <v>13294.13</v>
      </c>
      <c r="E177" s="4">
        <v>0</v>
      </c>
      <c r="F177" s="4">
        <v>0</v>
      </c>
      <c r="G177" s="5">
        <f t="shared" si="4"/>
        <v>6959.4676799999997</v>
      </c>
      <c r="H177" s="5">
        <f t="shared" si="5"/>
        <v>0.2999999999992724</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471.57</v>
      </c>
      <c r="D178" s="4">
        <f>'PR-RAS'!E182</f>
        <v>1878.24</v>
      </c>
      <c r="E178" s="4">
        <v>0</v>
      </c>
      <c r="F178" s="4">
        <v>0</v>
      </c>
      <c r="G178" s="5">
        <f t="shared" si="4"/>
        <v>748.36485000000005</v>
      </c>
      <c r="H178" s="5">
        <f t="shared" si="5"/>
        <v>0.67000000000001592</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0</v>
      </c>
      <c r="D179" s="4">
        <f>'PR-RAS'!E183</f>
        <v>0</v>
      </c>
      <c r="E179" s="4">
        <v>0</v>
      </c>
      <c r="F179" s="4">
        <v>0</v>
      </c>
      <c r="G179" s="5">
        <f t="shared" si="4"/>
        <v>0</v>
      </c>
      <c r="H179" s="5">
        <f t="shared" si="5"/>
        <v>0</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26788.59</v>
      </c>
      <c r="D180" s="4">
        <f>'PR-RAS'!E184</f>
        <v>27174.79</v>
      </c>
      <c r="E180" s="4">
        <v>0</v>
      </c>
      <c r="F180" s="4">
        <v>0</v>
      </c>
      <c r="G180" s="5">
        <f t="shared" si="4"/>
        <v>14523.732429999998</v>
      </c>
      <c r="H180" s="5">
        <f t="shared" si="5"/>
        <v>0.61999999999898137</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4638.1000000000004</v>
      </c>
      <c r="D181" s="4">
        <f>'PR-RAS'!E185</f>
        <v>4401.45</v>
      </c>
      <c r="E181" s="4">
        <v>0</v>
      </c>
      <c r="F181" s="4">
        <v>0</v>
      </c>
      <c r="G181" s="5">
        <f t="shared" si="4"/>
        <v>2419.38</v>
      </c>
      <c r="H181" s="5">
        <f t="shared" si="5"/>
        <v>0.5500000000001819</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5424.99</v>
      </c>
      <c r="D182" s="4">
        <f>'PR-RAS'!E186</f>
        <v>6208.47</v>
      </c>
      <c r="E182" s="4">
        <v>0</v>
      </c>
      <c r="F182" s="4">
        <v>0</v>
      </c>
      <c r="G182" s="5">
        <f t="shared" si="4"/>
        <v>3229.38933</v>
      </c>
      <c r="H182" s="5">
        <f t="shared" si="5"/>
        <v>0.48000000000047294</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63.7</v>
      </c>
      <c r="D183" s="4">
        <f>'PR-RAS'!E187</f>
        <v>0</v>
      </c>
      <c r="E183" s="4">
        <v>0</v>
      </c>
      <c r="F183" s="4">
        <v>0</v>
      </c>
      <c r="G183" s="5">
        <f t="shared" si="4"/>
        <v>11.593400000000001</v>
      </c>
      <c r="H183" s="5">
        <f t="shared" si="5"/>
        <v>0.29999999999999716</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18609.04</v>
      </c>
      <c r="D184" s="4">
        <f>'PR-RAS'!E188</f>
        <v>21076.079999999998</v>
      </c>
      <c r="E184" s="4">
        <v>0</v>
      </c>
      <c r="F184" s="4">
        <v>0</v>
      </c>
      <c r="G184" s="5">
        <f t="shared" si="4"/>
        <v>11119.299599999998</v>
      </c>
      <c r="H184" s="5">
        <f t="shared" si="5"/>
        <v>0.11999999999898137</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11739.6</v>
      </c>
      <c r="D185" s="4">
        <f>'PR-RAS'!E189</f>
        <v>11652.48</v>
      </c>
      <c r="E185" s="4">
        <v>0</v>
      </c>
      <c r="F185" s="4">
        <v>0</v>
      </c>
      <c r="G185" s="5">
        <f t="shared" si="4"/>
        <v>6448.1990399999995</v>
      </c>
      <c r="H185" s="5">
        <f t="shared" si="5"/>
        <v>0.87999999999919964</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1621.82</v>
      </c>
      <c r="D186" s="4">
        <f>'PR-RAS'!E190</f>
        <v>954.26</v>
      </c>
      <c r="E186" s="4">
        <v>0</v>
      </c>
      <c r="F186" s="4">
        <v>0</v>
      </c>
      <c r="G186" s="5">
        <f t="shared" si="4"/>
        <v>653.11289999999997</v>
      </c>
      <c r="H186" s="5">
        <f t="shared" si="5"/>
        <v>0.44000000000005457</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2255.64</v>
      </c>
      <c r="D187" s="4">
        <f>'PR-RAS'!E191</f>
        <v>3748.14</v>
      </c>
      <c r="E187" s="4">
        <v>0</v>
      </c>
      <c r="F187" s="4">
        <v>0</v>
      </c>
      <c r="G187" s="5">
        <f t="shared" si="4"/>
        <v>1813.8571199999999</v>
      </c>
      <c r="H187" s="5">
        <f t="shared" si="5"/>
        <v>0.5</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262.08</v>
      </c>
      <c r="D188" s="4">
        <f>'PR-RAS'!E192</f>
        <v>1233.1400000000001</v>
      </c>
      <c r="E188" s="4">
        <v>0</v>
      </c>
      <c r="F188" s="4">
        <v>0</v>
      </c>
      <c r="G188" s="5">
        <f t="shared" si="4"/>
        <v>510.20332000000002</v>
      </c>
      <c r="H188" s="5">
        <f t="shared" si="5"/>
        <v>0.22000000000008413</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1867.91</v>
      </c>
      <c r="D189" s="4">
        <f>'PR-RAS'!E193</f>
        <v>1969.43</v>
      </c>
      <c r="E189" s="4">
        <v>0</v>
      </c>
      <c r="F189" s="4">
        <v>0</v>
      </c>
      <c r="G189" s="5">
        <f t="shared" si="4"/>
        <v>1091.6727600000002</v>
      </c>
      <c r="H189" s="5">
        <f t="shared" si="5"/>
        <v>0.51999999999998181</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206.94</v>
      </c>
      <c r="E190" s="4">
        <v>0</v>
      </c>
      <c r="F190" s="4">
        <v>0</v>
      </c>
      <c r="G190" s="5">
        <f t="shared" si="4"/>
        <v>78.223320000000001</v>
      </c>
      <c r="H190" s="5">
        <f t="shared" si="5"/>
        <v>6.0000000000002274E-2</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861.99</v>
      </c>
      <c r="D191" s="4">
        <f>'PR-RAS'!E195</f>
        <v>1311.69</v>
      </c>
      <c r="E191" s="4">
        <v>0</v>
      </c>
      <c r="F191" s="4">
        <v>0</v>
      </c>
      <c r="G191" s="5">
        <f t="shared" si="4"/>
        <v>662.22029999999995</v>
      </c>
      <c r="H191" s="5">
        <f t="shared" si="5"/>
        <v>0.31999999999993634</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1028.51</v>
      </c>
      <c r="D192" s="4">
        <f>'PR-RAS'!E196</f>
        <v>4315.17</v>
      </c>
      <c r="E192" s="4">
        <v>0</v>
      </c>
      <c r="F192" s="4">
        <v>0</v>
      </c>
      <c r="G192" s="5">
        <f t="shared" si="4"/>
        <v>1844.8403500000002</v>
      </c>
      <c r="H192" s="5">
        <f t="shared" si="5"/>
        <v>0.66000000000008185</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720.62</v>
      </c>
      <c r="E198" s="4">
        <v>0</v>
      </c>
      <c r="F198" s="4">
        <v>0</v>
      </c>
      <c r="G198" s="5">
        <f t="shared" si="6"/>
        <v>283.92428000000001</v>
      </c>
      <c r="H198" s="5">
        <f t="shared" si="7"/>
        <v>0.37999999999999545</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720.62</v>
      </c>
      <c r="E200" s="4">
        <v>0</v>
      </c>
      <c r="F200" s="4">
        <v>0</v>
      </c>
      <c r="G200" s="5">
        <f t="shared" si="6"/>
        <v>286.80676</v>
      </c>
      <c r="H200" s="5">
        <f t="shared" si="7"/>
        <v>0.37999999999999545</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1028.51</v>
      </c>
      <c r="D206" s="4">
        <f>'PR-RAS'!E210</f>
        <v>3594.55</v>
      </c>
      <c r="E206" s="4">
        <v>0</v>
      </c>
      <c r="F206" s="4">
        <v>0</v>
      </c>
      <c r="G206" s="5">
        <f t="shared" si="6"/>
        <v>1684.61005</v>
      </c>
      <c r="H206" s="5">
        <f t="shared" si="7"/>
        <v>0.9399999999998272</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1028.51</v>
      </c>
      <c r="D207" s="4">
        <f>'PR-RAS'!E211</f>
        <v>3594.55</v>
      </c>
      <c r="E207" s="4">
        <v>0</v>
      </c>
      <c r="F207" s="4">
        <v>0</v>
      </c>
      <c r="G207" s="5">
        <f t="shared" si="6"/>
        <v>1692.8276599999999</v>
      </c>
      <c r="H207" s="5">
        <f t="shared" si="7"/>
        <v>0.9399999999998272</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36663.1</v>
      </c>
      <c r="D220" s="4">
        <f>'PR-RAS'!E224</f>
        <v>52207.61</v>
      </c>
      <c r="E220" s="4">
        <v>0</v>
      </c>
      <c r="F220" s="4">
        <v>0</v>
      </c>
      <c r="G220" s="5">
        <f t="shared" si="6"/>
        <v>30896.15208</v>
      </c>
      <c r="H220" s="5">
        <f t="shared" si="7"/>
        <v>0.48999999999796273</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29698.91</v>
      </c>
      <c r="D227" s="4">
        <f>'PR-RAS'!E231</f>
        <v>44622.05</v>
      </c>
      <c r="E227" s="4">
        <v>0</v>
      </c>
      <c r="F227" s="4">
        <v>0</v>
      </c>
      <c r="G227" s="5">
        <f t="shared" si="6"/>
        <v>26881.120260000003</v>
      </c>
      <c r="H227" s="5">
        <f t="shared" si="7"/>
        <v>0.1400000000030559</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29698.91</v>
      </c>
      <c r="D228" s="4">
        <f>'PR-RAS'!E232</f>
        <v>44622.05</v>
      </c>
      <c r="E228" s="4">
        <v>0</v>
      </c>
      <c r="F228" s="4">
        <v>0</v>
      </c>
      <c r="G228" s="5">
        <f t="shared" si="6"/>
        <v>27000.063270000002</v>
      </c>
      <c r="H228" s="5">
        <f t="shared" si="7"/>
        <v>0.1400000000030559</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6964.19</v>
      </c>
      <c r="D232" s="4">
        <f>'PR-RAS'!E236</f>
        <v>7585.56</v>
      </c>
      <c r="E232" s="4">
        <v>0</v>
      </c>
      <c r="F232" s="4">
        <v>0</v>
      </c>
      <c r="G232" s="5">
        <f t="shared" si="6"/>
        <v>5113.2566100000004</v>
      </c>
      <c r="H232" s="5">
        <f t="shared" si="7"/>
        <v>0.62999999999919964</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6964.19</v>
      </c>
      <c r="D233" s="4">
        <f>'PR-RAS'!E237</f>
        <v>7585.56</v>
      </c>
      <c r="E233" s="4">
        <v>0</v>
      </c>
      <c r="F233" s="4">
        <v>0</v>
      </c>
      <c r="G233" s="5">
        <f t="shared" si="6"/>
        <v>5135.3919200000009</v>
      </c>
      <c r="H233" s="5">
        <f t="shared" si="7"/>
        <v>0.62999999999919964</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37459.440000000002</v>
      </c>
      <c r="D248" s="4">
        <f>'PR-RAS'!E252</f>
        <v>42012.22</v>
      </c>
      <c r="E248" s="4">
        <v>0</v>
      </c>
      <c r="F248" s="4">
        <v>0</v>
      </c>
      <c r="G248" s="5">
        <f t="shared" si="6"/>
        <v>30006.518360000002</v>
      </c>
      <c r="H248" s="5">
        <f t="shared" si="7"/>
        <v>0.66000000000349246</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37459.440000000002</v>
      </c>
      <c r="D255" s="4">
        <f>'PR-RAS'!E259</f>
        <v>42012.22</v>
      </c>
      <c r="E255" s="4">
        <v>0</v>
      </c>
      <c r="F255" s="4">
        <v>0</v>
      </c>
      <c r="G255" s="5">
        <f t="shared" si="6"/>
        <v>30856.90552</v>
      </c>
      <c r="H255" s="5">
        <f t="shared" si="7"/>
        <v>0.66000000000349246</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15080</v>
      </c>
      <c r="D256" s="4">
        <f>'PR-RAS'!E260</f>
        <v>21310</v>
      </c>
      <c r="E256" s="4">
        <v>0</v>
      </c>
      <c r="F256" s="4">
        <v>0</v>
      </c>
      <c r="G256" s="5">
        <f t="shared" si="6"/>
        <v>14713.5</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22379.439999999999</v>
      </c>
      <c r="D257" s="4">
        <f>'PR-RAS'!E261</f>
        <v>20702.22</v>
      </c>
      <c r="E257" s="4">
        <v>0</v>
      </c>
      <c r="F257" s="4">
        <v>0</v>
      </c>
      <c r="G257" s="5">
        <f t="shared" si="6"/>
        <v>16328.673280000001</v>
      </c>
      <c r="H257" s="5">
        <f t="shared" si="7"/>
        <v>0.65999999999985448</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47264.21</v>
      </c>
      <c r="D259" s="4">
        <f>'PR-RAS'!E263</f>
        <v>110479.69</v>
      </c>
      <c r="E259" s="4">
        <v>0</v>
      </c>
      <c r="F259" s="4">
        <v>0</v>
      </c>
      <c r="G259" s="5">
        <f t="shared" si="8"/>
        <v>69201.686220000003</v>
      </c>
      <c r="H259" s="5">
        <f t="shared" si="9"/>
        <v>0.51999999999679858</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42384.36</v>
      </c>
      <c r="D260" s="4">
        <f>'PR-RAS'!E264</f>
        <v>50917.87</v>
      </c>
      <c r="E260" s="4">
        <v>0</v>
      </c>
      <c r="F260" s="4">
        <v>0</v>
      </c>
      <c r="G260" s="5">
        <f t="shared" si="8"/>
        <v>37353.005900000004</v>
      </c>
      <c r="H260" s="5">
        <f t="shared" si="9"/>
        <v>0.48999999999796273</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42384.36</v>
      </c>
      <c r="D261" s="4">
        <f>'PR-RAS'!E265</f>
        <v>50917.87</v>
      </c>
      <c r="E261" s="4">
        <v>0</v>
      </c>
      <c r="F261" s="4">
        <v>0</v>
      </c>
      <c r="G261" s="5">
        <f t="shared" si="8"/>
        <v>37497.226000000002</v>
      </c>
      <c r="H261" s="5">
        <f t="shared" si="9"/>
        <v>0.48999999999796273</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3112.74</v>
      </c>
      <c r="D264" s="4">
        <f>'PR-RAS'!E268</f>
        <v>51474.51</v>
      </c>
      <c r="E264" s="4">
        <v>0</v>
      </c>
      <c r="F264" s="4">
        <v>0</v>
      </c>
      <c r="G264" s="5">
        <f t="shared" si="8"/>
        <v>27894.242880000005</v>
      </c>
      <c r="H264" s="5">
        <f t="shared" si="9"/>
        <v>0.74999999999818101</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3112.74</v>
      </c>
      <c r="D265" s="4">
        <f>'PR-RAS'!E269</f>
        <v>51474.51</v>
      </c>
      <c r="E265" s="4">
        <v>0</v>
      </c>
      <c r="F265" s="4">
        <v>0</v>
      </c>
      <c r="G265" s="5">
        <f t="shared" si="8"/>
        <v>28000.304640000002</v>
      </c>
      <c r="H265" s="5">
        <f t="shared" si="9"/>
        <v>0.74999999999818101</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1767.11</v>
      </c>
      <c r="D275" s="4">
        <f>'PR-RAS'!E279</f>
        <v>8087.31</v>
      </c>
      <c r="E275" s="4">
        <v>0</v>
      </c>
      <c r="F275" s="4">
        <v>0</v>
      </c>
      <c r="G275" s="5">
        <f t="shared" si="8"/>
        <v>4916.0340200000001</v>
      </c>
      <c r="H275" s="5">
        <f t="shared" si="9"/>
        <v>0.42000000000030013</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1767.11</v>
      </c>
      <c r="D276" s="4">
        <f>'PR-RAS'!E280</f>
        <v>8087.31</v>
      </c>
      <c r="E276" s="4">
        <v>0</v>
      </c>
      <c r="F276" s="4">
        <v>0</v>
      </c>
      <c r="G276" s="5">
        <f t="shared" si="8"/>
        <v>4933.9757500000005</v>
      </c>
      <c r="H276" s="5">
        <f t="shared" si="9"/>
        <v>0.42000000000030013</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491820.43</v>
      </c>
      <c r="D285" s="4">
        <f>'PR-RAS'!E289</f>
        <v>561636.31000000006</v>
      </c>
      <c r="E285" s="4">
        <v>0</v>
      </c>
      <c r="F285" s="4">
        <v>0</v>
      </c>
      <c r="G285" s="5">
        <f t="shared" si="8"/>
        <v>458686.42619999999</v>
      </c>
      <c r="H285" s="5">
        <f t="shared" si="9"/>
        <v>0.74000000004889444</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325588.93</v>
      </c>
      <c r="D286" s="4">
        <f>'PR-RAS'!E290</f>
        <v>287879.8899999999</v>
      </c>
      <c r="E286" s="4">
        <v>0</v>
      </c>
      <c r="F286" s="4">
        <v>0</v>
      </c>
      <c r="G286" s="5">
        <f t="shared" si="8"/>
        <v>256884.38234999991</v>
      </c>
      <c r="H286" s="5">
        <f t="shared" si="9"/>
        <v>0.1800000001094304</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346521.87</v>
      </c>
      <c r="D288" s="4">
        <f>'PR-RAS'!E292</f>
        <v>548012.5</v>
      </c>
      <c r="E288" s="4">
        <v>0</v>
      </c>
      <c r="F288" s="4">
        <v>0</v>
      </c>
      <c r="G288" s="5">
        <f t="shared" si="8"/>
        <v>414010.95169000002</v>
      </c>
      <c r="H288" s="5">
        <f t="shared" si="9"/>
        <v>0.63000000000465661</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10971.27</v>
      </c>
      <c r="D290" s="4">
        <f>'PR-RAS'!E294</f>
        <v>12714.61</v>
      </c>
      <c r="E290" s="4">
        <v>0</v>
      </c>
      <c r="F290" s="4">
        <v>0</v>
      </c>
      <c r="G290" s="5">
        <f t="shared" si="8"/>
        <v>10519.741610000001</v>
      </c>
      <c r="H290" s="5">
        <f t="shared" si="9"/>
        <v>0.65999999999985448</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1121.51</v>
      </c>
      <c r="D293" s="4">
        <f>'PR-RAS'!E298</f>
        <v>1121.51</v>
      </c>
      <c r="E293" s="4">
        <v>0</v>
      </c>
      <c r="F293" s="4">
        <v>0</v>
      </c>
      <c r="G293" s="5">
        <f t="shared" si="8"/>
        <v>982.44275999999991</v>
      </c>
      <c r="H293" s="5">
        <f t="shared" si="9"/>
        <v>0.98000000000001819</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1121.51</v>
      </c>
      <c r="D294" s="4">
        <f>'PR-RAS'!E299</f>
        <v>1121.51</v>
      </c>
      <c r="E294" s="4">
        <v>0</v>
      </c>
      <c r="F294" s="4">
        <v>0</v>
      </c>
      <c r="G294" s="5">
        <f t="shared" si="8"/>
        <v>985.80728999999985</v>
      </c>
      <c r="H294" s="5">
        <f t="shared" si="9"/>
        <v>0.98000000000001819</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1121.51</v>
      </c>
      <c r="D295" s="4">
        <f>'PR-RAS'!E300</f>
        <v>1121.51</v>
      </c>
      <c r="E295" s="4">
        <v>0</v>
      </c>
      <c r="F295" s="4">
        <v>0</v>
      </c>
      <c r="G295" s="5">
        <f t="shared" si="8"/>
        <v>989.17181999999991</v>
      </c>
      <c r="H295" s="5">
        <f t="shared" si="9"/>
        <v>0.98000000000001819</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1121.51</v>
      </c>
      <c r="D296" s="4">
        <f>'PR-RAS'!E301</f>
        <v>1121.51</v>
      </c>
      <c r="E296" s="4">
        <v>0</v>
      </c>
      <c r="F296" s="4">
        <v>0</v>
      </c>
      <c r="G296" s="5">
        <f t="shared" si="8"/>
        <v>992.53634999999986</v>
      </c>
      <c r="H296" s="5">
        <f t="shared" si="9"/>
        <v>0.98000000000001819</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119406.06</v>
      </c>
      <c r="D345" s="4">
        <f>'PR-RAS'!E350</f>
        <v>768750.20000000007</v>
      </c>
      <c r="E345" s="4">
        <v>0</v>
      </c>
      <c r="F345" s="4">
        <v>0</v>
      </c>
      <c r="G345" s="5">
        <f t="shared" si="10"/>
        <v>569975.82224000001</v>
      </c>
      <c r="H345" s="5">
        <f t="shared" si="11"/>
        <v>0.26000000006752089</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85238.35</v>
      </c>
      <c r="D358" s="4">
        <f>'PR-RAS'!E363</f>
        <v>649659.94000000006</v>
      </c>
      <c r="E358" s="4">
        <v>0</v>
      </c>
      <c r="F358" s="4">
        <v>0</v>
      </c>
      <c r="G358" s="5">
        <f t="shared" si="10"/>
        <v>494287.28811000008</v>
      </c>
      <c r="H358" s="5">
        <f t="shared" si="11"/>
        <v>0.4099999999452848</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44865.91</v>
      </c>
      <c r="D359" s="4">
        <f>'PR-RAS'!E364</f>
        <v>627142.16</v>
      </c>
      <c r="E359" s="4">
        <v>0</v>
      </c>
      <c r="F359" s="4">
        <v>0</v>
      </c>
      <c r="G359" s="5">
        <f t="shared" si="10"/>
        <v>465095.78233999998</v>
      </c>
      <c r="H359" s="5">
        <f t="shared" si="11"/>
        <v>0.25000000002910383</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17223.93</v>
      </c>
      <c r="D361" s="4">
        <f>'PR-RAS'!E366</f>
        <v>410920.98</v>
      </c>
      <c r="E361" s="4">
        <v>0</v>
      </c>
      <c r="F361" s="4">
        <v>0</v>
      </c>
      <c r="G361" s="5">
        <f t="shared" si="10"/>
        <v>302063.72039999999</v>
      </c>
      <c r="H361" s="5">
        <f t="shared" si="11"/>
        <v>9.0000000018335413E-2</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25485.73</v>
      </c>
      <c r="D362" s="4">
        <f>'PR-RAS'!E367</f>
        <v>176941.17</v>
      </c>
      <c r="E362" s="4">
        <v>0</v>
      </c>
      <c r="F362" s="4">
        <v>0</v>
      </c>
      <c r="G362" s="5">
        <f t="shared" si="10"/>
        <v>136951.87327000001</v>
      </c>
      <c r="H362" s="5">
        <f t="shared" si="11"/>
        <v>0.44000000001324224</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2156.25</v>
      </c>
      <c r="D363" s="4">
        <f>'PR-RAS'!E368</f>
        <v>39280.01</v>
      </c>
      <c r="E363" s="4">
        <v>0</v>
      </c>
      <c r="F363" s="4">
        <v>0</v>
      </c>
      <c r="G363" s="5">
        <f t="shared" si="10"/>
        <v>29219.28974</v>
      </c>
      <c r="H363" s="5">
        <f t="shared" si="11"/>
        <v>0.26000000000203727</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9471.2000000000007</v>
      </c>
      <c r="D364" s="4">
        <f>'PR-RAS'!E369</f>
        <v>20565.969999999998</v>
      </c>
      <c r="E364" s="4">
        <v>0</v>
      </c>
      <c r="F364" s="4">
        <v>0</v>
      </c>
      <c r="G364" s="5">
        <f t="shared" si="10"/>
        <v>18368.93982</v>
      </c>
      <c r="H364" s="5">
        <f t="shared" si="11"/>
        <v>0.23000000000320142</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2381.5</v>
      </c>
      <c r="D365" s="4">
        <f>'PR-RAS'!E370</f>
        <v>936.9</v>
      </c>
      <c r="E365" s="4">
        <v>0</v>
      </c>
      <c r="F365" s="4">
        <v>0</v>
      </c>
      <c r="G365" s="5">
        <f t="shared" si="10"/>
        <v>1548.9292</v>
      </c>
      <c r="H365" s="5">
        <f t="shared" si="11"/>
        <v>0.60000000000002274</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1350.4</v>
      </c>
      <c r="D366" s="4">
        <f>'PR-RAS'!E371</f>
        <v>3659.33</v>
      </c>
      <c r="E366" s="4">
        <v>0</v>
      </c>
      <c r="F366" s="4">
        <v>0</v>
      </c>
      <c r="G366" s="5">
        <f t="shared" si="10"/>
        <v>3164.2068999999997</v>
      </c>
      <c r="H366" s="5">
        <f t="shared" si="11"/>
        <v>0.73000000000001819</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1960</v>
      </c>
      <c r="D367" s="4">
        <f>'PR-RAS'!E372</f>
        <v>8356.48</v>
      </c>
      <c r="E367" s="4">
        <v>0</v>
      </c>
      <c r="F367" s="4">
        <v>0</v>
      </c>
      <c r="G367" s="5">
        <f t="shared" si="10"/>
        <v>6834.3033599999999</v>
      </c>
      <c r="H367" s="5">
        <f t="shared" si="11"/>
        <v>0.47999999999956344</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7082.5</v>
      </c>
      <c r="E369" s="4">
        <v>0</v>
      </c>
      <c r="F369" s="4">
        <v>0</v>
      </c>
      <c r="G369" s="5">
        <f t="shared" si="10"/>
        <v>5212.72</v>
      </c>
      <c r="H369" s="5">
        <f t="shared" si="11"/>
        <v>0.5</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3779.3</v>
      </c>
      <c r="D371" s="4">
        <f>'PR-RAS'!E376</f>
        <v>530.76</v>
      </c>
      <c r="E371" s="4">
        <v>0</v>
      </c>
      <c r="F371" s="4">
        <v>0</v>
      </c>
      <c r="G371" s="5">
        <f t="shared" si="10"/>
        <v>1791.1034</v>
      </c>
      <c r="H371" s="5">
        <f t="shared" si="11"/>
        <v>0.54000000000019099</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384.3</v>
      </c>
      <c r="D378" s="4">
        <f>'PR-RAS'!E383</f>
        <v>76.81</v>
      </c>
      <c r="E378" s="4">
        <v>0</v>
      </c>
      <c r="F378" s="4">
        <v>0</v>
      </c>
      <c r="G378" s="5">
        <f t="shared" si="10"/>
        <v>202.79584000000003</v>
      </c>
      <c r="H378" s="5">
        <f t="shared" si="11"/>
        <v>0.49000000000000909</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384.3</v>
      </c>
      <c r="D379" s="4">
        <f>'PR-RAS'!E384</f>
        <v>76.81</v>
      </c>
      <c r="E379" s="4">
        <v>0</v>
      </c>
      <c r="F379" s="4">
        <v>0</v>
      </c>
      <c r="G379" s="5">
        <f t="shared" si="10"/>
        <v>203.33376000000004</v>
      </c>
      <c r="H379" s="5">
        <f t="shared" si="11"/>
        <v>0.49000000000000909</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30516.94</v>
      </c>
      <c r="D386" s="4">
        <f>'PR-RAS'!E391</f>
        <v>1875</v>
      </c>
      <c r="E386" s="4">
        <v>0</v>
      </c>
      <c r="F386" s="4">
        <v>0</v>
      </c>
      <c r="G386" s="5">
        <f t="shared" ref="G386:G449" si="12">(B386/1000)*(C386*1+D386*2)</f>
        <v>13192.771900000002</v>
      </c>
      <c r="H386" s="5">
        <f t="shared" ref="H386:H449" si="13">ABS(C386-ROUND(C386,0))+ABS(D386-ROUND(D386,0))</f>
        <v>6.0000000001309672E-2</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322.5</v>
      </c>
      <c r="D388" s="4">
        <f>'PR-RAS'!E393</f>
        <v>0</v>
      </c>
      <c r="E388" s="4">
        <v>0</v>
      </c>
      <c r="F388" s="4">
        <v>0</v>
      </c>
      <c r="G388" s="5">
        <f t="shared" si="12"/>
        <v>124.8075</v>
      </c>
      <c r="H388" s="5">
        <f t="shared" si="13"/>
        <v>0.5</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30194.44</v>
      </c>
      <c r="D390" s="4">
        <f>'PR-RAS'!E395</f>
        <v>1875</v>
      </c>
      <c r="E390" s="4">
        <v>0</v>
      </c>
      <c r="F390" s="4">
        <v>0</v>
      </c>
      <c r="G390" s="5">
        <f t="shared" si="12"/>
        <v>13204.387160000002</v>
      </c>
      <c r="H390" s="5">
        <f t="shared" si="13"/>
        <v>0.43999999999869033</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34167.71</v>
      </c>
      <c r="D397" s="4">
        <f>'PR-RAS'!E402</f>
        <v>119090.26</v>
      </c>
      <c r="E397" s="4">
        <v>0</v>
      </c>
      <c r="F397" s="4">
        <v>0</v>
      </c>
      <c r="G397" s="5">
        <f t="shared" si="12"/>
        <v>107849.89908</v>
      </c>
      <c r="H397" s="5">
        <f t="shared" si="13"/>
        <v>0.54999999999563443</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34167.71</v>
      </c>
      <c r="D398" s="4">
        <f>'PR-RAS'!E403</f>
        <v>119090.26</v>
      </c>
      <c r="E398" s="4">
        <v>0</v>
      </c>
      <c r="F398" s="4">
        <v>0</v>
      </c>
      <c r="G398" s="5">
        <f t="shared" si="12"/>
        <v>108122.24730999999</v>
      </c>
      <c r="H398" s="5">
        <f t="shared" si="13"/>
        <v>0.54999999999563443</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118284.55</v>
      </c>
      <c r="D403" s="4">
        <f>'PR-RAS'!E408</f>
        <v>767628.69000000006</v>
      </c>
      <c r="E403" s="4">
        <v>0</v>
      </c>
      <c r="F403" s="4">
        <v>0</v>
      </c>
      <c r="G403" s="5">
        <f t="shared" si="12"/>
        <v>664723.85586000013</v>
      </c>
      <c r="H403" s="5">
        <f t="shared" si="13"/>
        <v>0.75999999993655365</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2393.2199999999998</v>
      </c>
      <c r="D404" s="4">
        <f>'PR-RAS'!E409</f>
        <v>0</v>
      </c>
      <c r="E404" s="4">
        <v>0</v>
      </c>
      <c r="F404" s="4">
        <v>0</v>
      </c>
      <c r="G404" s="5">
        <f t="shared" si="12"/>
        <v>964.46766000000002</v>
      </c>
      <c r="H404" s="5">
        <f t="shared" si="13"/>
        <v>0.21999999999979991</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0</v>
      </c>
      <c r="D405" s="4">
        <f>'PR-RAS'!E410</f>
        <v>0</v>
      </c>
      <c r="E405" s="4">
        <v>0</v>
      </c>
      <c r="F405" s="4">
        <v>0</v>
      </c>
      <c r="G405" s="5">
        <f t="shared" si="12"/>
        <v>0</v>
      </c>
      <c r="H405" s="5">
        <f t="shared" si="13"/>
        <v>0</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3450.8</v>
      </c>
      <c r="D406" s="4">
        <f>'PR-RAS'!E411</f>
        <v>1725.4</v>
      </c>
      <c r="E406" s="4">
        <v>0</v>
      </c>
      <c r="F406" s="4">
        <v>0</v>
      </c>
      <c r="G406" s="5">
        <f t="shared" si="12"/>
        <v>2795.1480000000001</v>
      </c>
      <c r="H406" s="5">
        <f t="shared" si="13"/>
        <v>0.59999999999990905</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818530.87</v>
      </c>
      <c r="D407" s="4">
        <f>'PR-RAS'!E412</f>
        <v>850637.71</v>
      </c>
      <c r="E407" s="4">
        <v>0</v>
      </c>
      <c r="F407" s="4">
        <v>0</v>
      </c>
      <c r="G407" s="5">
        <f t="shared" si="12"/>
        <v>1023041.35374</v>
      </c>
      <c r="H407" s="5">
        <f t="shared" si="13"/>
        <v>0.42000000004190952</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611226.49</v>
      </c>
      <c r="D408" s="4">
        <f>'PR-RAS'!E413</f>
        <v>1330386.5100000002</v>
      </c>
      <c r="E408" s="4">
        <v>0</v>
      </c>
      <c r="F408" s="4">
        <v>0</v>
      </c>
      <c r="G408" s="5">
        <f t="shared" si="12"/>
        <v>1331703.8005700002</v>
      </c>
      <c r="H408" s="5">
        <f t="shared" si="13"/>
        <v>0.9799999997485429</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207304.38</v>
      </c>
      <c r="D409" s="4">
        <f>'PR-RAS'!E414</f>
        <v>0</v>
      </c>
      <c r="E409" s="4">
        <v>0</v>
      </c>
      <c r="F409" s="4">
        <v>0</v>
      </c>
      <c r="G409" s="5">
        <f t="shared" si="12"/>
        <v>84580.18703999999</v>
      </c>
      <c r="H409" s="5">
        <f t="shared" si="13"/>
        <v>0.38000000000465661</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479748.80000000028</v>
      </c>
      <c r="E410" s="4">
        <v>0</v>
      </c>
      <c r="F410" s="4">
        <v>0</v>
      </c>
      <c r="G410" s="5">
        <f t="shared" si="12"/>
        <v>392434.51840000018</v>
      </c>
      <c r="H410" s="5">
        <f t="shared" si="13"/>
        <v>0.19999999972060323</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348915.08999999997</v>
      </c>
      <c r="D411" s="4">
        <f>'PR-RAS'!E416</f>
        <v>548012.5</v>
      </c>
      <c r="E411" s="4">
        <v>0</v>
      </c>
      <c r="F411" s="4">
        <v>0</v>
      </c>
      <c r="G411" s="5">
        <f t="shared" si="12"/>
        <v>592425.43689999986</v>
      </c>
      <c r="H411" s="5">
        <f t="shared" si="13"/>
        <v>0.58999999996740371</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14422.07</v>
      </c>
      <c r="D413" s="4">
        <f>'PR-RAS'!E418</f>
        <v>14440.01</v>
      </c>
      <c r="E413" s="4">
        <v>0</v>
      </c>
      <c r="F413" s="4">
        <v>0</v>
      </c>
      <c r="G413" s="5">
        <f t="shared" si="12"/>
        <v>17840.461079999997</v>
      </c>
      <c r="H413" s="5">
        <f t="shared" si="13"/>
        <v>7.999999999992724E-2</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2720.7</v>
      </c>
      <c r="D414" s="4">
        <f>'PR-RAS'!E420</f>
        <v>335214.7</v>
      </c>
      <c r="E414" s="4">
        <v>0</v>
      </c>
      <c r="F414" s="4">
        <v>0</v>
      </c>
      <c r="G414" s="5">
        <f t="shared" si="12"/>
        <v>278010.99129999999</v>
      </c>
      <c r="H414" s="5">
        <f t="shared" si="13"/>
        <v>0.59999999998854037</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2720.7</v>
      </c>
      <c r="D478" s="4">
        <f>'PR-RAS'!E484</f>
        <v>335214.7</v>
      </c>
      <c r="E478" s="4">
        <v>0</v>
      </c>
      <c r="F478" s="4">
        <v>0</v>
      </c>
      <c r="G478" s="5">
        <f t="shared" si="14"/>
        <v>321092.59769999998</v>
      </c>
      <c r="H478" s="5">
        <f t="shared" si="15"/>
        <v>0.59999999998854037</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335214.7</v>
      </c>
      <c r="E484" s="4">
        <v>0</v>
      </c>
      <c r="F484" s="4">
        <v>0</v>
      </c>
      <c r="G484" s="5">
        <f t="shared" si="14"/>
        <v>323817.40019999997</v>
      </c>
      <c r="H484" s="5">
        <f t="shared" si="15"/>
        <v>0.29999999998835847</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335214.7</v>
      </c>
      <c r="E485" s="4">
        <v>0</v>
      </c>
      <c r="F485" s="4">
        <v>0</v>
      </c>
      <c r="G485" s="5">
        <f t="shared" si="14"/>
        <v>324487.8296</v>
      </c>
      <c r="H485" s="5">
        <f t="shared" si="15"/>
        <v>0.29999999998835847</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2720.7</v>
      </c>
      <c r="D501" s="4">
        <f>'PR-RAS'!E507</f>
        <v>0</v>
      </c>
      <c r="E501" s="4">
        <v>0</v>
      </c>
      <c r="F501" s="4">
        <v>0</v>
      </c>
      <c r="G501" s="5">
        <f t="shared" si="14"/>
        <v>1360.35</v>
      </c>
      <c r="H501" s="5">
        <f t="shared" si="15"/>
        <v>0.3000000000001819</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2720.7</v>
      </c>
      <c r="D502" s="4">
        <f>'PR-RAS'!E508</f>
        <v>0</v>
      </c>
      <c r="E502" s="4">
        <v>0</v>
      </c>
      <c r="F502" s="4">
        <v>0</v>
      </c>
      <c r="G502" s="5">
        <f t="shared" si="14"/>
        <v>1363.0707</v>
      </c>
      <c r="H502" s="5">
        <f t="shared" si="15"/>
        <v>0.3000000000001819</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9794.7199999999993</v>
      </c>
      <c r="D522" s="4">
        <f>'PR-RAS'!E528</f>
        <v>2720.72</v>
      </c>
      <c r="E522" s="4">
        <v>0</v>
      </c>
      <c r="F522" s="4">
        <v>0</v>
      </c>
      <c r="G522" s="5">
        <f t="shared" si="16"/>
        <v>7938.0393599999998</v>
      </c>
      <c r="H522" s="5">
        <f t="shared" si="17"/>
        <v>0.56000000000085493</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9794.7199999999993</v>
      </c>
      <c r="D587" s="4">
        <f>'PR-RAS'!E593</f>
        <v>2720.72</v>
      </c>
      <c r="E587" s="4">
        <v>0</v>
      </c>
      <c r="F587" s="4">
        <v>0</v>
      </c>
      <c r="G587" s="5">
        <f t="shared" si="18"/>
        <v>8928.38976</v>
      </c>
      <c r="H587" s="5">
        <f t="shared" si="19"/>
        <v>0.56000000000085493</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9794.7199999999993</v>
      </c>
      <c r="D611" s="4">
        <f>'PR-RAS'!E617</f>
        <v>2720.72</v>
      </c>
      <c r="E611" s="4">
        <v>0</v>
      </c>
      <c r="F611" s="4">
        <v>0</v>
      </c>
      <c r="G611" s="5">
        <f t="shared" si="18"/>
        <v>9294.0576000000001</v>
      </c>
      <c r="H611" s="5">
        <f t="shared" si="19"/>
        <v>0.56000000000085493</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9794.7199999999993</v>
      </c>
      <c r="D612" s="4">
        <f>'PR-RAS'!E618</f>
        <v>2720.72</v>
      </c>
      <c r="E612" s="4">
        <v>0</v>
      </c>
      <c r="F612" s="4">
        <v>0</v>
      </c>
      <c r="G612" s="5">
        <f t="shared" si="18"/>
        <v>9309.2937600000005</v>
      </c>
      <c r="H612" s="5">
        <f t="shared" si="19"/>
        <v>0.56000000000085493</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332493.98000000004</v>
      </c>
      <c r="E629" s="4">
        <v>0</v>
      </c>
      <c r="F629" s="4">
        <v>0</v>
      </c>
      <c r="G629" s="5">
        <f t="shared" si="18"/>
        <v>417612.43888000003</v>
      </c>
      <c r="H629" s="5">
        <f t="shared" si="19"/>
        <v>1.9999999960418791E-2</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7074.0199999999995</v>
      </c>
      <c r="D630" s="4">
        <f>'PR-RAS'!E636</f>
        <v>0</v>
      </c>
      <c r="E630" s="4">
        <v>0</v>
      </c>
      <c r="F630" s="4">
        <v>0</v>
      </c>
      <c r="G630" s="5">
        <f t="shared" si="18"/>
        <v>4449.5585799999999</v>
      </c>
      <c r="H630" s="5">
        <f t="shared" si="19"/>
        <v>1.9999999999527063E-2</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821251.57</v>
      </c>
      <c r="D633" s="4">
        <f>'PR-RAS'!E639</f>
        <v>1185852.4099999999</v>
      </c>
      <c r="E633" s="4">
        <v>0</v>
      </c>
      <c r="F633" s="4">
        <v>0</v>
      </c>
      <c r="G633" s="5">
        <f t="shared" si="18"/>
        <v>2017948.4384799998</v>
      </c>
      <c r="H633" s="5">
        <f t="shared" si="19"/>
        <v>0.83999999996740371</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621021.21</v>
      </c>
      <c r="D634" s="4">
        <f>'PR-RAS'!E640</f>
        <v>1333107.2300000002</v>
      </c>
      <c r="E634" s="4">
        <v>0</v>
      </c>
      <c r="F634" s="4">
        <v>0</v>
      </c>
      <c r="G634" s="5">
        <f t="shared" si="18"/>
        <v>2080820.1791100004</v>
      </c>
      <c r="H634" s="5">
        <f t="shared" si="19"/>
        <v>0.44000000017695129</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200230.36</v>
      </c>
      <c r="D635" s="4">
        <f>'PR-RAS'!E641</f>
        <v>0</v>
      </c>
      <c r="E635" s="4">
        <v>0</v>
      </c>
      <c r="F635" s="4">
        <v>0</v>
      </c>
      <c r="G635" s="5">
        <f t="shared" si="18"/>
        <v>126946.04823999999</v>
      </c>
      <c r="H635" s="5">
        <f t="shared" si="19"/>
        <v>0.35999999998603016</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147254.8200000003</v>
      </c>
      <c r="E636" s="4">
        <v>0</v>
      </c>
      <c r="F636" s="4">
        <v>0</v>
      </c>
      <c r="G636" s="5">
        <f t="shared" si="18"/>
        <v>187013.62140000038</v>
      </c>
      <c r="H636" s="5">
        <f t="shared" si="19"/>
        <v>0.17999999970197678</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348915.08999999997</v>
      </c>
      <c r="D637" s="4">
        <f>'PR-RAS'!E643</f>
        <v>548012.5</v>
      </c>
      <c r="E637" s="4">
        <v>0</v>
      </c>
      <c r="F637" s="4">
        <v>0</v>
      </c>
      <c r="G637" s="5">
        <f t="shared" si="18"/>
        <v>918981.89723999996</v>
      </c>
      <c r="H637" s="5">
        <f t="shared" si="19"/>
        <v>0.58999999996740371</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549145.44999999995</v>
      </c>
      <c r="D639" s="4">
        <f>'PR-RAS'!E645</f>
        <v>400757.6799999997</v>
      </c>
      <c r="E639" s="4">
        <v>0</v>
      </c>
      <c r="F639" s="4">
        <v>0</v>
      </c>
      <c r="G639" s="5">
        <f t="shared" si="18"/>
        <v>861721.59677999956</v>
      </c>
      <c r="H639" s="5">
        <f t="shared" si="19"/>
        <v>0.7700000002514571</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355408.72</v>
      </c>
      <c r="D642" s="4">
        <f>'PR-RAS'!E649</f>
        <v>554177.64</v>
      </c>
      <c r="E642" s="4">
        <v>0</v>
      </c>
      <c r="F642" s="4">
        <v>0</v>
      </c>
      <c r="G642" s="5">
        <f t="shared" ref="G642:G705" si="20">(B642/1000)*(C642*1+D642*2)</f>
        <v>938272.72400000005</v>
      </c>
      <c r="H642" s="5">
        <f t="shared" ref="H642:H705" si="21">ABS(C642-ROUND(C642,0))+ABS(D642-ROUND(D642,0))</f>
        <v>0.64000000001396984</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845181.45</v>
      </c>
      <c r="D643" s="4">
        <f>'PR-RAS'!E650</f>
        <v>1228933.8700000001</v>
      </c>
      <c r="E643" s="4">
        <v>0</v>
      </c>
      <c r="F643" s="4">
        <v>0</v>
      </c>
      <c r="G643" s="5">
        <f t="shared" si="20"/>
        <v>2120557.5799800004</v>
      </c>
      <c r="H643" s="5">
        <f t="shared" si="21"/>
        <v>0.57999999984167516</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646412.53</v>
      </c>
      <c r="D644" s="4">
        <f>'PR-RAS'!E651</f>
        <v>1316445.26</v>
      </c>
      <c r="E644" s="4">
        <v>0</v>
      </c>
      <c r="F644" s="4">
        <v>0</v>
      </c>
      <c r="G644" s="5">
        <f t="shared" si="20"/>
        <v>2108591.8611499998</v>
      </c>
      <c r="H644" s="5">
        <f t="shared" si="21"/>
        <v>0.72999999998137355</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554177.6399999999</v>
      </c>
      <c r="D645" s="4">
        <f>'PR-RAS'!E652</f>
        <v>466666.25000000023</v>
      </c>
      <c r="E645" s="4">
        <v>0</v>
      </c>
      <c r="F645" s="4">
        <v>0</v>
      </c>
      <c r="G645" s="5">
        <f t="shared" si="20"/>
        <v>957956.53016000031</v>
      </c>
      <c r="H645" s="5">
        <f t="shared" si="21"/>
        <v>0.61000000033527613</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3</v>
      </c>
      <c r="D646" s="4">
        <f>'PR-RAS'!E653</f>
        <v>3</v>
      </c>
      <c r="E646" s="4">
        <v>0</v>
      </c>
      <c r="F646" s="4">
        <v>0</v>
      </c>
      <c r="G646" s="5">
        <f t="shared" si="20"/>
        <v>5.8049999999999997</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0</v>
      </c>
      <c r="D647" s="4">
        <f>'PR-RAS'!E654</f>
        <v>0</v>
      </c>
      <c r="E647" s="4">
        <v>0</v>
      </c>
      <c r="F647" s="4">
        <v>0</v>
      </c>
      <c r="G647" s="5">
        <f t="shared" si="20"/>
        <v>0</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3</v>
      </c>
      <c r="D648" s="4">
        <f>'PR-RAS'!E655</f>
        <v>3</v>
      </c>
      <c r="E648" s="4">
        <v>0</v>
      </c>
      <c r="F648" s="4">
        <v>0</v>
      </c>
      <c r="G648" s="5">
        <f t="shared" si="20"/>
        <v>5.8230000000000004</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0</v>
      </c>
      <c r="D649" s="4">
        <f>'PR-RAS'!E656</f>
        <v>0</v>
      </c>
      <c r="E649" s="4">
        <v>0</v>
      </c>
      <c r="F649" s="4">
        <v>0</v>
      </c>
      <c r="G649" s="5">
        <f t="shared" si="20"/>
        <v>0</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47.78</v>
      </c>
      <c r="D651" s="4">
        <f>'PR-RAS'!E658</f>
        <v>0</v>
      </c>
      <c r="E651" s="4">
        <v>0</v>
      </c>
      <c r="F651" s="4">
        <v>0</v>
      </c>
      <c r="G651" s="5">
        <f t="shared" si="20"/>
        <v>31.057000000000002</v>
      </c>
      <c r="H651" s="5">
        <f t="shared" si="21"/>
        <v>0.21999999999999886</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230191</v>
      </c>
      <c r="D654" s="4">
        <f>'PR-RAS'!E661</f>
        <v>243609.56</v>
      </c>
      <c r="E654" s="4">
        <v>0</v>
      </c>
      <c r="F654" s="4">
        <v>0</v>
      </c>
      <c r="G654" s="5">
        <f t="shared" si="20"/>
        <v>468468.80836000002</v>
      </c>
      <c r="H654" s="5">
        <f t="shared" si="21"/>
        <v>0.44000000000232831</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8800</v>
      </c>
      <c r="D655" s="4">
        <f>'PR-RAS'!E662</f>
        <v>5400</v>
      </c>
      <c r="E655" s="4">
        <v>0</v>
      </c>
      <c r="F655" s="4">
        <v>0</v>
      </c>
      <c r="G655" s="5">
        <f t="shared" si="20"/>
        <v>12818.4</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26700</v>
      </c>
      <c r="D658" s="4">
        <f>'PR-RAS'!E665</f>
        <v>32500</v>
      </c>
      <c r="E658" s="4">
        <v>0</v>
      </c>
      <c r="F658" s="4">
        <v>0</v>
      </c>
      <c r="G658" s="5">
        <f t="shared" si="20"/>
        <v>60246.9</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126361</v>
      </c>
      <c r="D659" s="4">
        <f>'PR-RAS'!E666</f>
        <v>210866.94</v>
      </c>
      <c r="E659" s="4">
        <v>0</v>
      </c>
      <c r="F659" s="4">
        <v>0</v>
      </c>
      <c r="G659" s="5">
        <f t="shared" si="20"/>
        <v>360646.43104</v>
      </c>
      <c r="H659" s="5">
        <f t="shared" si="21"/>
        <v>5.9999999997671694E-2</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129825.81</v>
      </c>
      <c r="D691" s="4">
        <f>'PR-RAS'!E698</f>
        <v>0</v>
      </c>
      <c r="E691" s="4">
        <v>0</v>
      </c>
      <c r="F691" s="4">
        <v>0</v>
      </c>
      <c r="G691" s="5">
        <f t="shared" si="20"/>
        <v>89579.808899999989</v>
      </c>
      <c r="H691" s="5">
        <f t="shared" si="21"/>
        <v>0.19000000000232831</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0</v>
      </c>
      <c r="D710" s="4">
        <f>'PR-RAS'!E717</f>
        <v>0</v>
      </c>
      <c r="E710" s="4">
        <v>0</v>
      </c>
      <c r="F710" s="4">
        <v>0</v>
      </c>
      <c r="G710" s="5">
        <f t="shared" si="22"/>
        <v>0</v>
      </c>
      <c r="H710" s="5">
        <f t="shared" si="23"/>
        <v>0</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2069.52</v>
      </c>
      <c r="D711" s="4">
        <f>'PR-RAS'!E718</f>
        <v>2235.89</v>
      </c>
      <c r="E711" s="4">
        <v>0</v>
      </c>
      <c r="F711" s="4">
        <v>0</v>
      </c>
      <c r="G711" s="5">
        <f t="shared" si="22"/>
        <v>4644.3229999999994</v>
      </c>
      <c r="H711" s="5">
        <f t="shared" si="23"/>
        <v>0.59000000000014552</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0</v>
      </c>
      <c r="D713" s="4">
        <f>'PR-RAS'!E720</f>
        <v>0</v>
      </c>
      <c r="E713" s="4">
        <v>0</v>
      </c>
      <c r="F713" s="4">
        <v>0</v>
      </c>
      <c r="G713" s="5">
        <f t="shared" si="22"/>
        <v>0</v>
      </c>
      <c r="H713" s="5">
        <f t="shared" si="23"/>
        <v>0</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6358.68</v>
      </c>
      <c r="D715" s="4">
        <f>'PR-RAS'!E722</f>
        <v>780.58</v>
      </c>
      <c r="E715" s="4">
        <v>0</v>
      </c>
      <c r="F715" s="4">
        <v>0</v>
      </c>
      <c r="G715" s="5">
        <f t="shared" si="22"/>
        <v>5654.7657600000002</v>
      </c>
      <c r="H715" s="5">
        <f t="shared" si="23"/>
        <v>0.73999999999966803</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443.41</v>
      </c>
      <c r="D716" s="4">
        <f>'PR-RAS'!E723</f>
        <v>1896.5</v>
      </c>
      <c r="E716" s="4">
        <v>0</v>
      </c>
      <c r="F716" s="4">
        <v>0</v>
      </c>
      <c r="G716" s="5">
        <f t="shared" si="22"/>
        <v>3029.0331499999998</v>
      </c>
      <c r="H716" s="5">
        <f t="shared" si="23"/>
        <v>0.91000000000002501</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11739.6</v>
      </c>
      <c r="D718" s="4">
        <f>'PR-RAS'!E725</f>
        <v>11652.48</v>
      </c>
      <c r="E718" s="4">
        <v>0</v>
      </c>
      <c r="F718" s="4">
        <v>0</v>
      </c>
      <c r="G718" s="5">
        <f t="shared" si="22"/>
        <v>25126.949519999998</v>
      </c>
      <c r="H718" s="5">
        <f t="shared" si="23"/>
        <v>0.87999999999919964</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161.35</v>
      </c>
      <c r="D719" s="4">
        <f>'PR-RAS'!E726</f>
        <v>161.35</v>
      </c>
      <c r="E719" s="4">
        <v>0</v>
      </c>
      <c r="F719" s="4">
        <v>0</v>
      </c>
      <c r="G719" s="5">
        <f t="shared" si="22"/>
        <v>347.54789999999997</v>
      </c>
      <c r="H719" s="5">
        <f t="shared" si="23"/>
        <v>0.69999999999998863</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720.62</v>
      </c>
      <c r="E732" s="4">
        <v>0</v>
      </c>
      <c r="F732" s="4">
        <v>0</v>
      </c>
      <c r="G732" s="5">
        <f t="shared" si="22"/>
        <v>1053.5464400000001</v>
      </c>
      <c r="H732" s="5">
        <f t="shared" si="23"/>
        <v>0.37999999999999545</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29698.91</v>
      </c>
      <c r="D756" s="4">
        <f>'PR-RAS'!E763</f>
        <v>44622.05</v>
      </c>
      <c r="E756" s="4">
        <v>0</v>
      </c>
      <c r="F756" s="4">
        <v>0</v>
      </c>
      <c r="G756" s="5">
        <f t="shared" si="22"/>
        <v>89801.972550000006</v>
      </c>
      <c r="H756" s="5">
        <f t="shared" si="23"/>
        <v>0.1400000000030559</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3180</v>
      </c>
      <c r="D814" s="4">
        <f>'PR-RAS'!E821</f>
        <v>4770</v>
      </c>
      <c r="E814" s="4">
        <v>0</v>
      </c>
      <c r="F814" s="4">
        <v>0</v>
      </c>
      <c r="G814" s="5">
        <f t="shared" si="24"/>
        <v>10341.359999999999</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11900</v>
      </c>
      <c r="D816" s="4">
        <f>'PR-RAS'!E823</f>
        <v>16540</v>
      </c>
      <c r="E816" s="4">
        <v>0</v>
      </c>
      <c r="F816" s="4">
        <v>0</v>
      </c>
      <c r="G816" s="5">
        <f t="shared" si="24"/>
        <v>36658.699999999997</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3003.57</v>
      </c>
      <c r="D817" s="4">
        <f>'PR-RAS'!E824</f>
        <v>2527.94</v>
      </c>
      <c r="E817" s="4">
        <v>0</v>
      </c>
      <c r="F817" s="4">
        <v>0</v>
      </c>
      <c r="G817" s="5">
        <f t="shared" si="24"/>
        <v>6576.5111999999999</v>
      </c>
      <c r="H817" s="5">
        <f t="shared" si="25"/>
        <v>0.48999999999978172</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19375.87</v>
      </c>
      <c r="D821" s="4">
        <f>'PR-RAS'!E828</f>
        <v>18174.28</v>
      </c>
      <c r="E821" s="4">
        <v>0</v>
      </c>
      <c r="F821" s="4">
        <v>0</v>
      </c>
      <c r="G821" s="5">
        <f t="shared" si="24"/>
        <v>45694.032599999991</v>
      </c>
      <c r="H821" s="5">
        <f t="shared" si="25"/>
        <v>0.40999999999985448</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1767.11</v>
      </c>
      <c r="D823" s="4">
        <f>'PR-RAS'!E830</f>
        <v>8087.31</v>
      </c>
      <c r="E823" s="4">
        <v>0</v>
      </c>
      <c r="F823" s="4">
        <v>0</v>
      </c>
      <c r="G823" s="5">
        <f t="shared" si="24"/>
        <v>14748.102059999999</v>
      </c>
      <c r="H823" s="5">
        <f t="shared" si="25"/>
        <v>0.42000000000030013</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335214.7</v>
      </c>
      <c r="E872" s="4">
        <v>0</v>
      </c>
      <c r="F872" s="4">
        <v>0</v>
      </c>
      <c r="G872" s="5">
        <f t="shared" si="26"/>
        <v>583944.0074</v>
      </c>
      <c r="H872" s="5">
        <f t="shared" si="27"/>
        <v>0.29999999998835847</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2720.7</v>
      </c>
      <c r="D893" s="4">
        <f>'PR-RAS'!E900</f>
        <v>0</v>
      </c>
      <c r="E893" s="4">
        <v>0</v>
      </c>
      <c r="F893" s="4">
        <v>0</v>
      </c>
      <c r="G893" s="5">
        <f t="shared" si="26"/>
        <v>2426.8643999999999</v>
      </c>
      <c r="H893" s="5">
        <f t="shared" si="27"/>
        <v>0.3000000000001819</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9794.7199999999993</v>
      </c>
      <c r="D961" s="4">
        <f>'PR-RAS'!E968</f>
        <v>2720.72</v>
      </c>
      <c r="E961" s="4">
        <v>0</v>
      </c>
      <c r="F961" s="4">
        <v>0</v>
      </c>
      <c r="G961" s="5">
        <f t="shared" si="28"/>
        <v>14626.713599999999</v>
      </c>
      <c r="H961" s="5">
        <f t="shared" si="29"/>
        <v>0.56000000000085493</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3358729.92</v>
      </c>
      <c r="D984" s="9">
        <f>BILANCA!E6</f>
        <v>3981211.91</v>
      </c>
      <c r="E984" s="9">
        <v>0</v>
      </c>
      <c r="F984" s="9">
        <v>0</v>
      </c>
      <c r="G984" s="10">
        <f t="shared" ref="G984:G1047" si="32">B984/1000*C984+B984/500*D984</f>
        <v>11321.153740000002</v>
      </c>
      <c r="H984" s="10">
        <f t="shared" si="31"/>
        <v>0.16999999992549419</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2758759.2499999995</v>
      </c>
      <c r="D985" s="4">
        <f>BILANCA!E7</f>
        <v>3468752.1500000004</v>
      </c>
      <c r="E985" s="4">
        <v>0</v>
      </c>
      <c r="F985" s="4">
        <v>0</v>
      </c>
      <c r="G985" s="5">
        <f t="shared" si="32"/>
        <v>19392.527099999999</v>
      </c>
      <c r="H985" s="5">
        <f t="shared" si="31"/>
        <v>0.39999999990686774</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63594.090000000004</v>
      </c>
      <c r="D986" s="4">
        <f>BILANCA!E8</f>
        <v>63079.79</v>
      </c>
      <c r="E986" s="4">
        <v>0</v>
      </c>
      <c r="F986" s="4">
        <v>0</v>
      </c>
      <c r="G986" s="5">
        <f t="shared" si="32"/>
        <v>569.26101000000006</v>
      </c>
      <c r="H986" s="5">
        <f t="shared" si="31"/>
        <v>0.30000000000291038</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62471.48</v>
      </c>
      <c r="D987" s="4">
        <f>BILANCA!E9</f>
        <v>62471.48</v>
      </c>
      <c r="E987" s="4">
        <v>0</v>
      </c>
      <c r="F987" s="4">
        <v>0</v>
      </c>
      <c r="G987" s="5">
        <f t="shared" si="32"/>
        <v>749.65776000000005</v>
      </c>
      <c r="H987" s="5">
        <f t="shared" si="31"/>
        <v>0.96000000000640284</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2057.1999999999998</v>
      </c>
      <c r="D988" s="4">
        <f>BILANCA!E10</f>
        <v>2057.1999999999998</v>
      </c>
      <c r="E988" s="4">
        <v>0</v>
      </c>
      <c r="F988" s="4">
        <v>0</v>
      </c>
      <c r="G988" s="5">
        <f t="shared" si="32"/>
        <v>30.857999999999997</v>
      </c>
      <c r="H988" s="5">
        <f t="shared" si="31"/>
        <v>0.3999999999996362</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934.59</v>
      </c>
      <c r="D989" s="4">
        <f>BILANCA!E11</f>
        <v>1448.89</v>
      </c>
      <c r="E989" s="4">
        <v>0</v>
      </c>
      <c r="F989" s="4">
        <v>0</v>
      </c>
      <c r="G989" s="5">
        <f t="shared" si="32"/>
        <v>22.994220000000002</v>
      </c>
      <c r="H989" s="5">
        <f t="shared" si="31"/>
        <v>0.51999999999986812</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2510458.11</v>
      </c>
      <c r="D990" s="4">
        <f>BILANCA!E12</f>
        <v>2810044.33</v>
      </c>
      <c r="E990" s="4">
        <v>0</v>
      </c>
      <c r="F990" s="4">
        <v>0</v>
      </c>
      <c r="G990" s="5">
        <f t="shared" si="32"/>
        <v>56913.827390000006</v>
      </c>
      <c r="H990" s="5">
        <f t="shared" si="31"/>
        <v>0.43999999994412065</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2381401.38</v>
      </c>
      <c r="D991" s="4">
        <f>BILANCA!E13</f>
        <v>2691481.96</v>
      </c>
      <c r="E991" s="4">
        <v>0</v>
      </c>
      <c r="F991" s="4">
        <v>0</v>
      </c>
      <c r="G991" s="5">
        <f t="shared" si="32"/>
        <v>62114.922399999996</v>
      </c>
      <c r="H991" s="5">
        <f t="shared" si="31"/>
        <v>0.41999999992549419</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0.13</v>
      </c>
      <c r="D992" s="4">
        <f>BILANCA!E14</f>
        <v>0.13</v>
      </c>
      <c r="E992" s="4">
        <v>0</v>
      </c>
      <c r="F992" s="4">
        <v>0</v>
      </c>
      <c r="G992" s="5">
        <f t="shared" si="32"/>
        <v>3.5100000000000001E-3</v>
      </c>
      <c r="H992" s="5">
        <f t="shared" si="31"/>
        <v>0.26</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1635702.77</v>
      </c>
      <c r="D993" s="4">
        <f>BILANCA!E15</f>
        <v>1803669.83</v>
      </c>
      <c r="E993" s="4">
        <v>0</v>
      </c>
      <c r="F993" s="4">
        <v>0</v>
      </c>
      <c r="G993" s="5">
        <f t="shared" si="32"/>
        <v>52430.424299999999</v>
      </c>
      <c r="H993" s="5">
        <f t="shared" si="31"/>
        <v>0.39999999990686774</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1244536.8500000001</v>
      </c>
      <c r="D994" s="4">
        <f>BILANCA!E16</f>
        <v>1444889.21</v>
      </c>
      <c r="E994" s="4">
        <v>0</v>
      </c>
      <c r="F994" s="4">
        <v>0</v>
      </c>
      <c r="G994" s="5">
        <f t="shared" si="32"/>
        <v>45477.467969999998</v>
      </c>
      <c r="H994" s="5">
        <f t="shared" si="31"/>
        <v>0.35999999986961484</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366717.98</v>
      </c>
      <c r="D995" s="4">
        <f>BILANCA!E17</f>
        <v>405516.94</v>
      </c>
      <c r="E995" s="4">
        <v>0</v>
      </c>
      <c r="F995" s="4">
        <v>0</v>
      </c>
      <c r="G995" s="5">
        <f t="shared" si="32"/>
        <v>14133.02232</v>
      </c>
      <c r="H995" s="5">
        <f t="shared" si="31"/>
        <v>8.0000000016298145E-2</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865556.35</v>
      </c>
      <c r="D996" s="4">
        <f>BILANCA!E18</f>
        <v>962594.15</v>
      </c>
      <c r="E996" s="4">
        <v>0</v>
      </c>
      <c r="F996" s="4">
        <v>0</v>
      </c>
      <c r="G996" s="5">
        <f t="shared" si="32"/>
        <v>36279.68045</v>
      </c>
      <c r="H996" s="5">
        <f t="shared" si="31"/>
        <v>0.5</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48119.180000000022</v>
      </c>
      <c r="D997" s="4">
        <f>BILANCA!E19</f>
        <v>45428.290000000037</v>
      </c>
      <c r="E997" s="4">
        <v>0</v>
      </c>
      <c r="F997" s="4">
        <v>0</v>
      </c>
      <c r="G997" s="5">
        <f t="shared" si="32"/>
        <v>1945.6606400000014</v>
      </c>
      <c r="H997" s="5">
        <f t="shared" si="31"/>
        <v>0.47000000005937181</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79217.570000000007</v>
      </c>
      <c r="D998" s="4">
        <f>BILANCA!E20</f>
        <v>80154.47</v>
      </c>
      <c r="E998" s="4">
        <v>0</v>
      </c>
      <c r="F998" s="4">
        <v>0</v>
      </c>
      <c r="G998" s="5">
        <f t="shared" si="32"/>
        <v>3592.8976499999999</v>
      </c>
      <c r="H998" s="5">
        <f t="shared" si="31"/>
        <v>0.89999999999417923</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26863.33</v>
      </c>
      <c r="D999" s="4">
        <f>BILANCA!E21</f>
        <v>30522.66</v>
      </c>
      <c r="E999" s="4">
        <v>0</v>
      </c>
      <c r="F999" s="4">
        <v>0</v>
      </c>
      <c r="G999" s="5">
        <f t="shared" si="32"/>
        <v>1406.5384000000001</v>
      </c>
      <c r="H999" s="5">
        <f t="shared" si="31"/>
        <v>0.67000000000189175</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10850.64</v>
      </c>
      <c r="D1000" s="4">
        <f>BILANCA!E22</f>
        <v>19207.12</v>
      </c>
      <c r="E1000" s="4">
        <v>0</v>
      </c>
      <c r="F1000" s="4">
        <v>0</v>
      </c>
      <c r="G1000" s="5">
        <f t="shared" si="32"/>
        <v>837.50296000000003</v>
      </c>
      <c r="H1000" s="5">
        <f t="shared" si="31"/>
        <v>0.47999999999956344</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7082.5</v>
      </c>
      <c r="E1002" s="4">
        <v>0</v>
      </c>
      <c r="F1002" s="4">
        <v>0</v>
      </c>
      <c r="G1002" s="5">
        <f t="shared" si="32"/>
        <v>269.13499999999999</v>
      </c>
      <c r="H1002" s="5">
        <f t="shared" si="31"/>
        <v>0.5</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23874.7</v>
      </c>
      <c r="D1003" s="4">
        <f>BILANCA!E25</f>
        <v>23874.7</v>
      </c>
      <c r="E1003" s="4">
        <v>0</v>
      </c>
      <c r="F1003" s="4">
        <v>0</v>
      </c>
      <c r="G1003" s="5">
        <f t="shared" si="32"/>
        <v>1432.482</v>
      </c>
      <c r="H1003" s="5">
        <f t="shared" si="31"/>
        <v>0.59999999999854481</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80827.070000000007</v>
      </c>
      <c r="D1004" s="4">
        <f>BILANCA!E26</f>
        <v>81357.83</v>
      </c>
      <c r="E1004" s="4">
        <v>0</v>
      </c>
      <c r="F1004" s="4">
        <v>0</v>
      </c>
      <c r="G1004" s="5">
        <f t="shared" si="32"/>
        <v>5114.3973300000007</v>
      </c>
      <c r="H1004" s="5">
        <f t="shared" si="31"/>
        <v>0.24000000000523869</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173514.13</v>
      </c>
      <c r="D1006" s="4">
        <f>BILANCA!E28</f>
        <v>196770.99</v>
      </c>
      <c r="E1006" s="4">
        <v>0</v>
      </c>
      <c r="F1006" s="4">
        <v>0</v>
      </c>
      <c r="G1006" s="5">
        <f t="shared" si="32"/>
        <v>13042.290529999998</v>
      </c>
      <c r="H1006" s="5">
        <f t="shared" si="31"/>
        <v>0.14000000001396984</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617.71</v>
      </c>
      <c r="D1013" s="4">
        <f>BILANCA!E35</f>
        <v>550.9699999999998</v>
      </c>
      <c r="E1013" s="4">
        <v>0</v>
      </c>
      <c r="F1013" s="4">
        <v>0</v>
      </c>
      <c r="G1013" s="5">
        <f t="shared" si="32"/>
        <v>51.589499999999987</v>
      </c>
      <c r="H1013" s="5">
        <f t="shared" si="31"/>
        <v>0.32000000000016371</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2865.79</v>
      </c>
      <c r="D1014" s="4">
        <f>BILANCA!E36</f>
        <v>2942.6</v>
      </c>
      <c r="E1014" s="4">
        <v>0</v>
      </c>
      <c r="F1014" s="4">
        <v>0</v>
      </c>
      <c r="G1014" s="5">
        <f t="shared" si="32"/>
        <v>271.28068999999999</v>
      </c>
      <c r="H1014" s="5">
        <f t="shared" si="31"/>
        <v>0.61000000000012733</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2248.08</v>
      </c>
      <c r="D1018" s="4">
        <f>BILANCA!E40</f>
        <v>2391.63</v>
      </c>
      <c r="E1018" s="4">
        <v>0</v>
      </c>
      <c r="F1018" s="4">
        <v>0</v>
      </c>
      <c r="G1018" s="5">
        <f t="shared" si="32"/>
        <v>246.09690000000001</v>
      </c>
      <c r="H1018" s="5">
        <f t="shared" si="31"/>
        <v>0.4499999999998181</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0.65</v>
      </c>
      <c r="D1019" s="4">
        <f>BILANCA!E41</f>
        <v>0.65</v>
      </c>
      <c r="E1019" s="4">
        <v>0</v>
      </c>
      <c r="F1019" s="4">
        <v>0</v>
      </c>
      <c r="G1019" s="5">
        <f t="shared" si="32"/>
        <v>7.0199999999999999E-2</v>
      </c>
      <c r="H1019" s="5">
        <f t="shared" si="31"/>
        <v>0.7</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0.65</v>
      </c>
      <c r="D1020" s="4">
        <f>BILANCA!E42</f>
        <v>0.65</v>
      </c>
      <c r="E1020" s="4">
        <v>0</v>
      </c>
      <c r="F1020" s="4">
        <v>0</v>
      </c>
      <c r="G1020" s="5">
        <f t="shared" si="32"/>
        <v>7.2149999999999992E-2</v>
      </c>
      <c r="H1020" s="5">
        <f t="shared" si="31"/>
        <v>0.7</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80319.19</v>
      </c>
      <c r="D1023" s="4">
        <f>BILANCA!E45</f>
        <v>72582.460000000006</v>
      </c>
      <c r="E1023" s="4">
        <v>0</v>
      </c>
      <c r="F1023" s="4">
        <v>0</v>
      </c>
      <c r="G1023" s="5">
        <f t="shared" si="32"/>
        <v>9019.3644000000004</v>
      </c>
      <c r="H1023" s="5">
        <f t="shared" si="31"/>
        <v>0.65000000000873115</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322.5</v>
      </c>
      <c r="D1025" s="4">
        <f>BILANCA!E47</f>
        <v>322.5</v>
      </c>
      <c r="E1025" s="4">
        <v>0</v>
      </c>
      <c r="F1025" s="4">
        <v>0</v>
      </c>
      <c r="G1025" s="5">
        <f t="shared" si="32"/>
        <v>40.635000000000005</v>
      </c>
      <c r="H1025" s="5">
        <f t="shared" si="31"/>
        <v>1</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66605.009999999995</v>
      </c>
      <c r="D1026" s="4">
        <f>BILANCA!E48</f>
        <v>66605.009999999995</v>
      </c>
      <c r="E1026" s="4">
        <v>0</v>
      </c>
      <c r="F1026" s="4">
        <v>0</v>
      </c>
      <c r="G1026" s="5">
        <f t="shared" si="32"/>
        <v>8592.0462899999984</v>
      </c>
      <c r="H1026" s="5">
        <f t="shared" ref="H1026:H1089" si="33">ABS(C1026-ROUND(C1026,0))+ABS(D1026-ROUND(D1026,0))</f>
        <v>1.9999999989522621E-2</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112213.21</v>
      </c>
      <c r="D1027" s="4">
        <f>BILANCA!E49</f>
        <v>114088.21</v>
      </c>
      <c r="E1027" s="4">
        <v>0</v>
      </c>
      <c r="F1027" s="4">
        <v>0</v>
      </c>
      <c r="G1027" s="5">
        <f t="shared" si="32"/>
        <v>14977.14372</v>
      </c>
      <c r="H1027" s="5">
        <f t="shared" si="33"/>
        <v>0.42000000001280569</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98821.53</v>
      </c>
      <c r="D1028" s="4">
        <f>BILANCA!E50</f>
        <v>108433.26</v>
      </c>
      <c r="E1028" s="4">
        <v>0</v>
      </c>
      <c r="F1028" s="4">
        <v>0</v>
      </c>
      <c r="G1028" s="5">
        <f t="shared" si="32"/>
        <v>14205.96225</v>
      </c>
      <c r="H1028" s="5">
        <f t="shared" si="33"/>
        <v>0.72999999999592546</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12741.48</v>
      </c>
      <c r="D1032" s="4">
        <f>BILANCA!E54</f>
        <v>13593.83</v>
      </c>
      <c r="E1032" s="4">
        <v>0</v>
      </c>
      <c r="F1032" s="4">
        <v>0</v>
      </c>
      <c r="G1032" s="5">
        <f t="shared" si="32"/>
        <v>1956.5278600000001</v>
      </c>
      <c r="H1032" s="5">
        <f t="shared" si="33"/>
        <v>0.6499999999996362</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12741.48</v>
      </c>
      <c r="D1033" s="4">
        <f>BILANCA!E55</f>
        <v>13593.83</v>
      </c>
      <c r="E1033" s="4">
        <v>0</v>
      </c>
      <c r="F1033" s="4">
        <v>0</v>
      </c>
      <c r="G1033" s="5">
        <f t="shared" si="32"/>
        <v>1996.4570000000001</v>
      </c>
      <c r="H1033" s="5">
        <f t="shared" si="33"/>
        <v>0.6499999999996362</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184707.05</v>
      </c>
      <c r="D1034" s="4">
        <f>BILANCA!E56</f>
        <v>595628.03</v>
      </c>
      <c r="E1034" s="4">
        <v>0</v>
      </c>
      <c r="F1034" s="4">
        <v>0</v>
      </c>
      <c r="G1034" s="5">
        <f t="shared" si="32"/>
        <v>70174.118610000005</v>
      </c>
      <c r="H1034" s="5">
        <f t="shared" si="33"/>
        <v>8.0000000016298145E-2</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158524.99</v>
      </c>
      <c r="D1035" s="4">
        <f>BILANCA!E57</f>
        <v>569445.97</v>
      </c>
      <c r="E1035" s="4">
        <v>0</v>
      </c>
      <c r="F1035" s="4">
        <v>0</v>
      </c>
      <c r="G1035" s="5">
        <f t="shared" si="32"/>
        <v>67465.680359999998</v>
      </c>
      <c r="H1035" s="5">
        <f t="shared" si="33"/>
        <v>4.0000000037252903E-2</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26182.06</v>
      </c>
      <c r="D1039" s="4">
        <f>BILANCA!E61</f>
        <v>26182.06</v>
      </c>
      <c r="E1039" s="4">
        <v>0</v>
      </c>
      <c r="F1039" s="4">
        <v>0</v>
      </c>
      <c r="G1039" s="5">
        <f t="shared" si="32"/>
        <v>4398.5860800000009</v>
      </c>
      <c r="H1039" s="5">
        <f t="shared" si="33"/>
        <v>0.12000000000261934</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599970.67000000016</v>
      </c>
      <c r="D1046" s="4">
        <f>BILANCA!E68</f>
        <v>512459.76</v>
      </c>
      <c r="E1046" s="4">
        <v>0</v>
      </c>
      <c r="F1046" s="4">
        <v>0</v>
      </c>
      <c r="G1046" s="5">
        <f t="shared" si="32"/>
        <v>102368.08197</v>
      </c>
      <c r="H1046" s="5">
        <f t="shared" si="33"/>
        <v>0.56999999983236194</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554177.64</v>
      </c>
      <c r="D1047" s="4">
        <f>BILANCA!E69</f>
        <v>466666.25</v>
      </c>
      <c r="E1047" s="4">
        <v>0</v>
      </c>
      <c r="F1047" s="4">
        <v>0</v>
      </c>
      <c r="G1047" s="5">
        <f t="shared" si="32"/>
        <v>95200.648959999991</v>
      </c>
      <c r="H1047" s="5">
        <f t="shared" si="33"/>
        <v>0.60999999998603016</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554177.64</v>
      </c>
      <c r="D1048" s="4">
        <f>BILANCA!E70</f>
        <v>466666.25</v>
      </c>
      <c r="E1048" s="4">
        <v>0</v>
      </c>
      <c r="F1048" s="4">
        <v>0</v>
      </c>
      <c r="G1048" s="5">
        <f t="shared" ref="G1048:G1111" si="34">B1048/1000*C1048+B1048/500*D1048</f>
        <v>96688.159100000004</v>
      </c>
      <c r="H1048" s="5">
        <f t="shared" si="33"/>
        <v>0.60999999998603016</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554177.64</v>
      </c>
      <c r="D1050" s="4">
        <f>BILANCA!E72</f>
        <v>466666.25</v>
      </c>
      <c r="E1050" s="4">
        <v>0</v>
      </c>
      <c r="F1050" s="4">
        <v>0</v>
      </c>
      <c r="G1050" s="5">
        <f t="shared" si="34"/>
        <v>99663.179380000016</v>
      </c>
      <c r="H1050" s="5">
        <f t="shared" si="33"/>
        <v>0.60999999998603016</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605.80999999999995</v>
      </c>
      <c r="D1056" s="4">
        <f>BILANCA!E78</f>
        <v>599.01</v>
      </c>
      <c r="E1056" s="4">
        <v>0</v>
      </c>
      <c r="F1056" s="4">
        <v>0</v>
      </c>
      <c r="G1056" s="5">
        <f t="shared" si="34"/>
        <v>131.67958999999999</v>
      </c>
      <c r="H1056" s="5">
        <f t="shared" si="33"/>
        <v>0.20000000000004547</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605.80999999999995</v>
      </c>
      <c r="D1064" s="4">
        <f>BILANCA!E86</f>
        <v>599.01</v>
      </c>
      <c r="E1064" s="4">
        <v>0</v>
      </c>
      <c r="F1064" s="4">
        <v>0</v>
      </c>
      <c r="G1064" s="5">
        <f t="shared" si="34"/>
        <v>146.11023</v>
      </c>
      <c r="H1064" s="5">
        <f t="shared" si="33"/>
        <v>0.20000000000004547</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30765.15</v>
      </c>
      <c r="D1112" s="4">
        <f>BILANCA!E134</f>
        <v>30754.49</v>
      </c>
      <c r="E1112" s="4">
        <v>0</v>
      </c>
      <c r="F1112" s="4">
        <v>0</v>
      </c>
      <c r="G1112" s="5">
        <f t="shared" ref="G1112:G1175" si="36">B1112/1000*C1112+B1112/500*D1112</f>
        <v>11903.362770000002</v>
      </c>
      <c r="H1112" s="5">
        <f t="shared" si="35"/>
        <v>0.6400000000030559</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30765.15</v>
      </c>
      <c r="D1113" s="4">
        <f>BILANCA!E135</f>
        <v>30754.49</v>
      </c>
      <c r="E1113" s="4">
        <v>0</v>
      </c>
      <c r="F1113" s="4">
        <v>0</v>
      </c>
      <c r="G1113" s="5">
        <f t="shared" si="36"/>
        <v>11995.636900000001</v>
      </c>
      <c r="H1113" s="5">
        <f t="shared" si="35"/>
        <v>0.6400000000030559</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30765.15</v>
      </c>
      <c r="D1117" s="4">
        <f>BILANCA!E139</f>
        <v>30754.49</v>
      </c>
      <c r="E1117" s="4">
        <v>0</v>
      </c>
      <c r="F1117" s="4">
        <v>0</v>
      </c>
      <c r="G1117" s="5">
        <f t="shared" si="36"/>
        <v>12364.73342</v>
      </c>
      <c r="H1117" s="5">
        <f t="shared" si="35"/>
        <v>0.6400000000030559</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10971.269999999999</v>
      </c>
      <c r="D1124" s="4">
        <f>BILANCA!E146</f>
        <v>12714.609999999999</v>
      </c>
      <c r="E1124" s="4">
        <v>0</v>
      </c>
      <c r="F1124" s="4">
        <v>0</v>
      </c>
      <c r="G1124" s="5">
        <f t="shared" si="36"/>
        <v>5132.4690899999987</v>
      </c>
      <c r="H1124" s="5">
        <f t="shared" si="35"/>
        <v>0.65999999999985448</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15725.33</v>
      </c>
      <c r="D1125" s="4">
        <f>BILANCA!E147</f>
        <v>10218.209999999999</v>
      </c>
      <c r="E1125" s="4">
        <v>0</v>
      </c>
      <c r="F1125" s="4">
        <v>0</v>
      </c>
      <c r="G1125" s="5">
        <f t="shared" si="36"/>
        <v>5134.968499999999</v>
      </c>
      <c r="H1125" s="5">
        <f t="shared" si="35"/>
        <v>0.53999999999905413</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506.01</v>
      </c>
      <c r="D1136" s="4">
        <f>BILANCA!E158</f>
        <v>499.92</v>
      </c>
      <c r="E1136" s="4">
        <v>0</v>
      </c>
      <c r="F1136" s="4">
        <v>0</v>
      </c>
      <c r="G1136" s="5">
        <f t="shared" si="36"/>
        <v>230.39504999999997</v>
      </c>
      <c r="H1136" s="5">
        <f t="shared" si="35"/>
        <v>8.9999999999974989E-2</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9521.83</v>
      </c>
      <c r="D1137" s="4">
        <f>BILANCA!E159</f>
        <v>10745.83</v>
      </c>
      <c r="E1137" s="4">
        <v>0</v>
      </c>
      <c r="F1137" s="4">
        <v>0</v>
      </c>
      <c r="G1137" s="5">
        <f t="shared" si="36"/>
        <v>4776.0774600000004</v>
      </c>
      <c r="H1137" s="5">
        <f t="shared" si="35"/>
        <v>0.34000000000014552</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14781.9</v>
      </c>
      <c r="D1141" s="4">
        <f>BILANCA!E163</f>
        <v>8749.35</v>
      </c>
      <c r="E1141" s="4">
        <v>0</v>
      </c>
      <c r="F1141" s="4">
        <v>0</v>
      </c>
      <c r="G1141" s="5">
        <f t="shared" si="36"/>
        <v>5100.3348000000005</v>
      </c>
      <c r="H1141" s="5">
        <f t="shared" si="35"/>
        <v>0.4500000000007276</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3450.8</v>
      </c>
      <c r="D1142" s="4">
        <f>BILANCA!E164</f>
        <v>1725.4</v>
      </c>
      <c r="E1142" s="4">
        <v>0</v>
      </c>
      <c r="F1142" s="4">
        <v>0</v>
      </c>
      <c r="G1142" s="5">
        <f t="shared" si="36"/>
        <v>1097.3544000000002</v>
      </c>
      <c r="H1142" s="5">
        <f t="shared" si="35"/>
        <v>0.59999999999990905</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3450.8</v>
      </c>
      <c r="D1143" s="4">
        <f>BILANCA!E165</f>
        <v>1725.4</v>
      </c>
      <c r="E1143" s="4">
        <v>0</v>
      </c>
      <c r="F1143" s="4">
        <v>0</v>
      </c>
      <c r="G1143" s="5">
        <f t="shared" si="36"/>
        <v>1104.2560000000001</v>
      </c>
      <c r="H1143" s="5">
        <f t="shared" si="35"/>
        <v>0.59999999999990905</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3358729.92</v>
      </c>
      <c r="D1152" s="4">
        <f>BILANCA!E175</f>
        <v>3981211.9099999997</v>
      </c>
      <c r="E1152" s="4">
        <v>0</v>
      </c>
      <c r="F1152" s="4">
        <v>0</v>
      </c>
      <c r="G1152" s="5">
        <f t="shared" si="36"/>
        <v>1913274.9820600001</v>
      </c>
      <c r="H1152" s="5">
        <f t="shared" si="35"/>
        <v>0.17000000039115548</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14059.82</v>
      </c>
      <c r="D1153" s="4">
        <f>BILANCA!E176</f>
        <v>407423.4</v>
      </c>
      <c r="E1153" s="4">
        <v>0</v>
      </c>
      <c r="F1153" s="4">
        <v>0</v>
      </c>
      <c r="G1153" s="5">
        <f t="shared" si="36"/>
        <v>140914.12540000002</v>
      </c>
      <c r="H1153" s="5">
        <f t="shared" si="35"/>
        <v>0.5800000000235741</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5638</v>
      </c>
      <c r="D1154" s="4">
        <f>BILANCA!E177</f>
        <v>5690.3799999999992</v>
      </c>
      <c r="E1154" s="4">
        <v>0</v>
      </c>
      <c r="F1154" s="4">
        <v>0</v>
      </c>
      <c r="G1154" s="5">
        <f t="shared" si="36"/>
        <v>2910.2079599999997</v>
      </c>
      <c r="H1154" s="5">
        <f t="shared" ref="H1154:H1217" si="37">ABS(C1154-ROUND(C1154,0))+ABS(D1154-ROUND(D1154,0))</f>
        <v>0.37999999999919964</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0</v>
      </c>
      <c r="D1155" s="4">
        <f>BILANCA!E178</f>
        <v>0</v>
      </c>
      <c r="E1155" s="4">
        <v>0</v>
      </c>
      <c r="F1155" s="4">
        <v>0</v>
      </c>
      <c r="G1155" s="5">
        <f t="shared" si="36"/>
        <v>0</v>
      </c>
      <c r="H1155" s="5">
        <f t="shared" si="37"/>
        <v>0</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3822.11</v>
      </c>
      <c r="D1156" s="4">
        <f>BILANCA!E179</f>
        <v>4744.7299999999996</v>
      </c>
      <c r="E1156" s="4">
        <v>0</v>
      </c>
      <c r="F1156" s="4">
        <v>0</v>
      </c>
      <c r="G1156" s="5">
        <f t="shared" si="36"/>
        <v>2302.9016099999999</v>
      </c>
      <c r="H1156" s="5">
        <f t="shared" si="37"/>
        <v>0.38000000000056389</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0</v>
      </c>
      <c r="D1157" s="4">
        <f>BILANCA!E180</f>
        <v>0</v>
      </c>
      <c r="E1157" s="4">
        <v>0</v>
      </c>
      <c r="F1157" s="4">
        <v>0</v>
      </c>
      <c r="G1157" s="5">
        <f t="shared" si="36"/>
        <v>0</v>
      </c>
      <c r="H1157" s="5">
        <f t="shared" si="37"/>
        <v>0</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0</v>
      </c>
      <c r="D1160" s="4">
        <f>BILANCA!E183</f>
        <v>0</v>
      </c>
      <c r="E1160" s="4">
        <v>0</v>
      </c>
      <c r="F1160" s="4">
        <v>0</v>
      </c>
      <c r="G1160" s="5">
        <f t="shared" si="36"/>
        <v>0</v>
      </c>
      <c r="H1160" s="5">
        <f t="shared" si="37"/>
        <v>0</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1221.5999999999999</v>
      </c>
      <c r="D1163" s="4">
        <f>BILANCA!E186</f>
        <v>803</v>
      </c>
      <c r="E1163" s="4">
        <v>0</v>
      </c>
      <c r="F1163" s="4">
        <v>0</v>
      </c>
      <c r="G1163" s="5">
        <f t="shared" si="36"/>
        <v>508.96799999999996</v>
      </c>
      <c r="H1163" s="5">
        <f t="shared" si="37"/>
        <v>0.40000000000009095</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594.29</v>
      </c>
      <c r="D1165" s="4">
        <f>BILANCA!E188</f>
        <v>142.65</v>
      </c>
      <c r="E1165" s="4">
        <v>0</v>
      </c>
      <c r="F1165" s="4">
        <v>0</v>
      </c>
      <c r="G1165" s="5">
        <f t="shared" si="36"/>
        <v>160.08537999999999</v>
      </c>
      <c r="H1165" s="5">
        <f t="shared" si="37"/>
        <v>0.63999999999995794</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0</v>
      </c>
      <c r="D1166" s="4">
        <f>BILANCA!E189</f>
        <v>60817.2</v>
      </c>
      <c r="E1166" s="4">
        <v>0</v>
      </c>
      <c r="F1166" s="4">
        <v>0</v>
      </c>
      <c r="G1166" s="5">
        <f t="shared" si="36"/>
        <v>22259.0952</v>
      </c>
      <c r="H1166" s="5">
        <f t="shared" si="37"/>
        <v>0.19999999999708962</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8421.82</v>
      </c>
      <c r="D1183" s="4">
        <f>BILANCA!E206</f>
        <v>340915.82</v>
      </c>
      <c r="E1183" s="4">
        <v>0</v>
      </c>
      <c r="F1183" s="4">
        <v>0</v>
      </c>
      <c r="G1183" s="5">
        <f t="shared" si="38"/>
        <v>138050.69200000001</v>
      </c>
      <c r="H1183" s="5">
        <f t="shared" si="37"/>
        <v>0.35999999999330612</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8421.82</v>
      </c>
      <c r="D1184" s="4">
        <f>BILANCA!E207</f>
        <v>340915.82</v>
      </c>
      <c r="E1184" s="4">
        <v>0</v>
      </c>
      <c r="F1184" s="4">
        <v>0</v>
      </c>
      <c r="G1184" s="5">
        <f t="shared" si="38"/>
        <v>138740.94545999999</v>
      </c>
      <c r="H1184" s="5">
        <f t="shared" si="37"/>
        <v>0.35999999999330612</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335214.7</v>
      </c>
      <c r="E1185" s="4">
        <v>0</v>
      </c>
      <c r="F1185" s="4">
        <v>0</v>
      </c>
      <c r="G1185" s="5">
        <f t="shared" si="38"/>
        <v>135426.73880000002</v>
      </c>
      <c r="H1185" s="5">
        <f t="shared" si="37"/>
        <v>0.29999999998835847</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8421.82</v>
      </c>
      <c r="D1194" s="4">
        <f>BILANCA!E217</f>
        <v>5701.12</v>
      </c>
      <c r="E1194" s="4">
        <v>0</v>
      </c>
      <c r="F1194" s="4">
        <v>0</v>
      </c>
      <c r="G1194" s="5">
        <f t="shared" si="38"/>
        <v>4182.8766599999999</v>
      </c>
      <c r="H1194" s="5">
        <f t="shared" si="37"/>
        <v>0.3000000000001819</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3344670.1</v>
      </c>
      <c r="D1214" s="4">
        <f>BILANCA!E237</f>
        <v>3573788.51</v>
      </c>
      <c r="E1214" s="4">
        <v>0</v>
      </c>
      <c r="F1214" s="4">
        <v>0</v>
      </c>
      <c r="G1214" s="5">
        <f t="shared" si="38"/>
        <v>2423709.0847200002</v>
      </c>
      <c r="H1214" s="5">
        <f t="shared" si="37"/>
        <v>0.59000000031664968</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2781102.58</v>
      </c>
      <c r="D1215" s="4">
        <f>BILANCA!E238</f>
        <v>3158590.8200000003</v>
      </c>
      <c r="E1215" s="4">
        <v>0</v>
      </c>
      <c r="F1215" s="4">
        <v>0</v>
      </c>
      <c r="G1215" s="5">
        <f t="shared" si="38"/>
        <v>2110801.9390400006</v>
      </c>
      <c r="H1215" s="5">
        <f t="shared" si="37"/>
        <v>0.59999999962747097</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2789524.4</v>
      </c>
      <c r="D1216" s="4">
        <f>BILANCA!E239</f>
        <v>3499506.64</v>
      </c>
      <c r="E1216" s="4">
        <v>0</v>
      </c>
      <c r="F1216" s="4">
        <v>0</v>
      </c>
      <c r="G1216" s="5">
        <f t="shared" si="38"/>
        <v>2280729.2794400002</v>
      </c>
      <c r="H1216" s="5">
        <f t="shared" si="37"/>
        <v>0.75999999977648258</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2758759.25</v>
      </c>
      <c r="D1217" s="4">
        <f>BILANCA!E240</f>
        <v>3468752.15</v>
      </c>
      <c r="E1217" s="4">
        <v>0</v>
      </c>
      <c r="F1217" s="4">
        <v>0</v>
      </c>
      <c r="G1217" s="5">
        <f t="shared" si="38"/>
        <v>2268925.6707000001</v>
      </c>
      <c r="H1217" s="5">
        <f t="shared" si="37"/>
        <v>0.39999999990686774</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30765.15</v>
      </c>
      <c r="D1218" s="4">
        <f>BILANCA!E241</f>
        <v>30754.49</v>
      </c>
      <c r="E1218" s="4">
        <v>0</v>
      </c>
      <c r="F1218" s="4">
        <v>0</v>
      </c>
      <c r="G1218" s="5">
        <f t="shared" si="38"/>
        <v>21684.420549999999</v>
      </c>
      <c r="H1218" s="5">
        <f t="shared" ref="H1218:H1281" si="39">ABS(C1218-ROUND(C1218,0))+ABS(D1218-ROUND(D1218,0))</f>
        <v>0.6400000000030559</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8421.82</v>
      </c>
      <c r="D1219" s="4">
        <f>BILANCA!E242</f>
        <v>340915.82</v>
      </c>
      <c r="E1219" s="4">
        <v>0</v>
      </c>
      <c r="F1219" s="4">
        <v>0</v>
      </c>
      <c r="G1219" s="5">
        <f t="shared" si="38"/>
        <v>162899.81656000001</v>
      </c>
      <c r="H1219" s="5">
        <f t="shared" si="39"/>
        <v>0.35999999999330612</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8421.82</v>
      </c>
      <c r="D1220" s="4">
        <f>BILANCA!E243</f>
        <v>340915.82</v>
      </c>
      <c r="E1220" s="4">
        <v>0</v>
      </c>
      <c r="F1220" s="4">
        <v>0</v>
      </c>
      <c r="G1220" s="5">
        <f t="shared" si="38"/>
        <v>163590.07001999998</v>
      </c>
      <c r="H1220" s="5">
        <f t="shared" si="39"/>
        <v>0.35999999999330612</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549145.44999999995</v>
      </c>
      <c r="D1222" s="4">
        <f>BILANCA!E245</f>
        <v>400757.67999999993</v>
      </c>
      <c r="E1222" s="4">
        <v>0</v>
      </c>
      <c r="F1222" s="4">
        <v>0</v>
      </c>
      <c r="G1222" s="5">
        <f t="shared" si="38"/>
        <v>322807.93358999991</v>
      </c>
      <c r="H1222" s="5">
        <f t="shared" si="39"/>
        <v>0.77000000001862645</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556219.47</v>
      </c>
      <c r="D1223" s="4">
        <f>BILANCA!E246</f>
        <v>1038853.4299999999</v>
      </c>
      <c r="E1223" s="4">
        <v>0</v>
      </c>
      <c r="F1223" s="4">
        <v>0</v>
      </c>
      <c r="G1223" s="5">
        <f t="shared" si="38"/>
        <v>632142.31920000003</v>
      </c>
      <c r="H1223" s="5">
        <f t="shared" si="39"/>
        <v>0.89999999990686774</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553826.25</v>
      </c>
      <c r="D1224" s="4">
        <f>BILANCA!E247</f>
        <v>706359.45</v>
      </c>
      <c r="E1224" s="4">
        <v>0</v>
      </c>
      <c r="F1224" s="4">
        <v>0</v>
      </c>
      <c r="G1224" s="5">
        <f t="shared" si="38"/>
        <v>473937.38114999991</v>
      </c>
      <c r="H1224" s="5">
        <f t="shared" si="39"/>
        <v>0.69999999995343387</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2393.2199999999998</v>
      </c>
      <c r="D1225" s="4">
        <f>BILANCA!E248</f>
        <v>0</v>
      </c>
      <c r="E1225" s="4">
        <v>0</v>
      </c>
      <c r="F1225" s="4">
        <v>0</v>
      </c>
      <c r="G1225" s="5">
        <f t="shared" si="38"/>
        <v>579.15923999999995</v>
      </c>
      <c r="H1225" s="5">
        <f t="shared" si="39"/>
        <v>0.21999999999979991</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332493.98</v>
      </c>
      <c r="E1226" s="4">
        <v>0</v>
      </c>
      <c r="F1226" s="4">
        <v>0</v>
      </c>
      <c r="G1226" s="5">
        <f t="shared" si="38"/>
        <v>161592.07428</v>
      </c>
      <c r="H1226" s="5">
        <f t="shared" si="39"/>
        <v>2.0000000018626451E-2</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7074.02</v>
      </c>
      <c r="D1227" s="4">
        <f>BILANCA!E250</f>
        <v>638095.75</v>
      </c>
      <c r="E1227" s="4">
        <v>0</v>
      </c>
      <c r="F1227" s="4">
        <v>0</v>
      </c>
      <c r="G1227" s="5">
        <f t="shared" si="38"/>
        <v>313116.78687999997</v>
      </c>
      <c r="H1227" s="5">
        <f t="shared" si="39"/>
        <v>0.27000000000043656</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0</v>
      </c>
      <c r="D1229" s="4">
        <f>BILANCA!E252</f>
        <v>638095.75</v>
      </c>
      <c r="E1229" s="4">
        <v>0</v>
      </c>
      <c r="F1229" s="4">
        <v>0</v>
      </c>
      <c r="G1229" s="5">
        <f t="shared" si="38"/>
        <v>313943.109</v>
      </c>
      <c r="H1229" s="5">
        <f t="shared" si="39"/>
        <v>0.25</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7074.02</v>
      </c>
      <c r="D1230" s="4">
        <f>BILANCA!E253</f>
        <v>0</v>
      </c>
      <c r="E1230" s="4">
        <v>0</v>
      </c>
      <c r="F1230" s="4">
        <v>0</v>
      </c>
      <c r="G1230" s="5">
        <f t="shared" si="38"/>
        <v>1747.2829400000001</v>
      </c>
      <c r="H1230" s="5">
        <f t="shared" si="39"/>
        <v>2.0000000000436557E-2</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10971.27</v>
      </c>
      <c r="D1232" s="4">
        <f>BILANCA!E255</f>
        <v>12714.61</v>
      </c>
      <c r="E1232" s="4">
        <v>0</v>
      </c>
      <c r="F1232" s="4">
        <v>0</v>
      </c>
      <c r="G1232" s="5">
        <f t="shared" si="38"/>
        <v>9063.7220100000013</v>
      </c>
      <c r="H1232" s="5">
        <f t="shared" si="39"/>
        <v>0.65999999999985448</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3450.8</v>
      </c>
      <c r="D1233" s="4">
        <f>BILANCA!E256</f>
        <v>1725.4</v>
      </c>
      <c r="E1233" s="4">
        <v>0</v>
      </c>
      <c r="F1233" s="4">
        <v>0</v>
      </c>
      <c r="G1233" s="5">
        <f t="shared" si="38"/>
        <v>1725.4</v>
      </c>
      <c r="H1233" s="5">
        <f t="shared" si="39"/>
        <v>0.59999999999990905</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756941.57</v>
      </c>
      <c r="D1236" s="4">
        <f>BILANCA!E259</f>
        <v>2189245.2799999998</v>
      </c>
      <c r="E1236" s="4">
        <v>0</v>
      </c>
      <c r="F1236" s="4">
        <v>0</v>
      </c>
      <c r="G1236" s="5">
        <f t="shared" si="38"/>
        <v>1299264.3288899998</v>
      </c>
      <c r="H1236" s="5">
        <f t="shared" si="39"/>
        <v>0.70999999984633178</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756941.57</v>
      </c>
      <c r="D1237" s="4">
        <f>BILANCA!E260</f>
        <v>2189245.2799999998</v>
      </c>
      <c r="E1237" s="4">
        <v>0</v>
      </c>
      <c r="F1237" s="4">
        <v>0</v>
      </c>
      <c r="G1237" s="5">
        <f t="shared" si="38"/>
        <v>1304399.7610199999</v>
      </c>
      <c r="H1237" s="5">
        <f t="shared" si="39"/>
        <v>0.70999999984633178</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25753.17</v>
      </c>
      <c r="D1240" s="4">
        <f>BILANCA!E264</f>
        <v>21463.96</v>
      </c>
      <c r="E1240" s="4">
        <v>0</v>
      </c>
      <c r="F1240" s="4">
        <v>0</v>
      </c>
      <c r="G1240" s="5">
        <f t="shared" ref="G1240:G1303" si="40">B1240/1000*C1240+B1240/500*D1240</f>
        <v>17651.040130000001</v>
      </c>
      <c r="H1240" s="5">
        <f t="shared" si="39"/>
        <v>0.20999999999912689</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3450.8</v>
      </c>
      <c r="D1243" s="4">
        <f>BILANCA!E267</f>
        <v>1725.4</v>
      </c>
      <c r="E1243" s="4">
        <v>0</v>
      </c>
      <c r="F1243" s="4">
        <v>0</v>
      </c>
      <c r="G1243" s="5">
        <f t="shared" si="40"/>
        <v>1794.4160000000002</v>
      </c>
      <c r="H1243" s="5">
        <f t="shared" si="39"/>
        <v>0.59999999999990905</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605.80999999999995</v>
      </c>
      <c r="D1244" s="4">
        <f>BILANCA!E268</f>
        <v>599.01</v>
      </c>
      <c r="E1244" s="4">
        <v>0</v>
      </c>
      <c r="F1244" s="4">
        <v>0</v>
      </c>
      <c r="G1244" s="5">
        <f t="shared" si="40"/>
        <v>470.79962999999998</v>
      </c>
      <c r="H1244" s="5">
        <f t="shared" si="39"/>
        <v>0.20000000000004547</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0</v>
      </c>
      <c r="D1263" s="4">
        <f>BILANCA!E287</f>
        <v>0</v>
      </c>
      <c r="E1263" s="4">
        <v>0</v>
      </c>
      <c r="F1263" s="4">
        <v>0</v>
      </c>
      <c r="G1263" s="5">
        <f t="shared" si="40"/>
        <v>0</v>
      </c>
      <c r="H1263" s="5">
        <f t="shared" si="39"/>
        <v>0</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5638</v>
      </c>
      <c r="D1264" s="4">
        <f>BILANCA!E288</f>
        <v>5690.38</v>
      </c>
      <c r="E1264" s="4">
        <v>0</v>
      </c>
      <c r="F1264" s="4">
        <v>0</v>
      </c>
      <c r="G1264" s="5">
        <f t="shared" si="40"/>
        <v>4782.271560000001</v>
      </c>
      <c r="H1264" s="5">
        <f t="shared" si="39"/>
        <v>0.38000000000010914</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0</v>
      </c>
      <c r="D1265" s="4">
        <f>BILANCA!E289</f>
        <v>0</v>
      </c>
      <c r="E1265" s="4">
        <v>0</v>
      </c>
      <c r="F1265" s="4">
        <v>0</v>
      </c>
      <c r="G1265" s="5">
        <f t="shared" si="40"/>
        <v>0</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60817.2</v>
      </c>
      <c r="E1266" s="4">
        <v>0</v>
      </c>
      <c r="F1266" s="4">
        <v>0</v>
      </c>
      <c r="G1266" s="5">
        <f t="shared" si="40"/>
        <v>34422.535199999998</v>
      </c>
      <c r="H1266" s="5">
        <f t="shared" si="39"/>
        <v>0.19999999999708962</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8421.82</v>
      </c>
      <c r="D1270" s="4">
        <f>BILANCA!E294</f>
        <v>340915.82</v>
      </c>
      <c r="E1270" s="4">
        <v>0</v>
      </c>
      <c r="F1270" s="4">
        <v>0</v>
      </c>
      <c r="G1270" s="5">
        <f t="shared" si="40"/>
        <v>198102.74301999999</v>
      </c>
      <c r="H1270" s="5">
        <f t="shared" si="39"/>
        <v>0.35999999999330612</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594.29</v>
      </c>
      <c r="D1274" s="4">
        <f>BILANCA!E298</f>
        <v>142.65</v>
      </c>
      <c r="E1274" s="4">
        <v>0</v>
      </c>
      <c r="F1274" s="4">
        <v>0</v>
      </c>
      <c r="G1274" s="5">
        <f t="shared" si="40"/>
        <v>255.96068999999997</v>
      </c>
      <c r="H1274" s="5">
        <f t="shared" si="39"/>
        <v>0.63999999999995794</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140197.5</v>
      </c>
      <c r="D1299" s="9">
        <f>'RAS-funkcijski'!E5</f>
        <v>187074.02000000002</v>
      </c>
      <c r="E1299" s="9">
        <v>0</v>
      </c>
      <c r="F1299" s="9">
        <v>0</v>
      </c>
      <c r="G1299" s="10">
        <f t="shared" si="40"/>
        <v>514.34554000000003</v>
      </c>
      <c r="H1299" s="10">
        <f t="shared" si="41"/>
        <v>0.52000000001862645</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49834.18</v>
      </c>
      <c r="D1300" s="4">
        <f>'RAS-funkcijski'!E6</f>
        <v>64188.93</v>
      </c>
      <c r="E1300" s="4">
        <v>0</v>
      </c>
      <c r="F1300" s="4">
        <v>0</v>
      </c>
      <c r="G1300" s="5">
        <f t="shared" si="40"/>
        <v>356.42408</v>
      </c>
      <c r="H1300" s="5">
        <f t="shared" si="41"/>
        <v>0.25</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49834.18</v>
      </c>
      <c r="D1301" s="4">
        <f>'RAS-funkcijski'!E7</f>
        <v>64188.93</v>
      </c>
      <c r="E1301" s="4">
        <v>0</v>
      </c>
      <c r="F1301" s="4">
        <v>0</v>
      </c>
      <c r="G1301" s="5">
        <f t="shared" si="40"/>
        <v>534.63612000000001</v>
      </c>
      <c r="H1301" s="5">
        <f t="shared" si="41"/>
        <v>0.25</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80321.27</v>
      </c>
      <c r="D1307" s="4">
        <f>'RAS-funkcijski'!E13</f>
        <v>102817.98</v>
      </c>
      <c r="E1307" s="4">
        <v>0</v>
      </c>
      <c r="F1307" s="4">
        <v>0</v>
      </c>
      <c r="G1307" s="5">
        <f t="shared" si="42"/>
        <v>2573.6150699999998</v>
      </c>
      <c r="H1307" s="5">
        <f t="shared" si="41"/>
        <v>0.29000000000814907</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80321.27</v>
      </c>
      <c r="D1308" s="4">
        <f>'RAS-funkcijski'!E14</f>
        <v>102817.98</v>
      </c>
      <c r="E1308" s="4">
        <v>0</v>
      </c>
      <c r="F1308" s="4">
        <v>0</v>
      </c>
      <c r="G1308" s="5">
        <f t="shared" si="42"/>
        <v>2859.5722999999998</v>
      </c>
      <c r="H1308" s="5">
        <f t="shared" si="41"/>
        <v>0.29000000000814907</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10042.049999999999</v>
      </c>
      <c r="D1313" s="4">
        <f>'RAS-funkcijski'!E19</f>
        <v>19346.490000000002</v>
      </c>
      <c r="E1313" s="4">
        <v>0</v>
      </c>
      <c r="F1313" s="4">
        <v>0</v>
      </c>
      <c r="G1313" s="5">
        <f t="shared" si="42"/>
        <v>731.02545000000009</v>
      </c>
      <c r="H1313" s="5">
        <f t="shared" si="41"/>
        <v>0.54000000000087311</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720.62</v>
      </c>
      <c r="E1314" s="4">
        <v>0</v>
      </c>
      <c r="F1314" s="4">
        <v>0</v>
      </c>
      <c r="G1314" s="5">
        <f t="shared" si="42"/>
        <v>23.059840000000001</v>
      </c>
      <c r="H1314" s="5">
        <f t="shared" si="41"/>
        <v>0.37999999999999545</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17573.57</v>
      </c>
      <c r="D1322" s="4">
        <f>'RAS-funkcijski'!E28</f>
        <v>66372.5</v>
      </c>
      <c r="E1322" s="4">
        <v>0</v>
      </c>
      <c r="F1322" s="4">
        <v>0</v>
      </c>
      <c r="G1322" s="5">
        <f t="shared" si="42"/>
        <v>3607.6456800000001</v>
      </c>
      <c r="H1322" s="5">
        <f t="shared" si="41"/>
        <v>0.93000000000029104</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48642.5</v>
      </c>
      <c r="E1324" s="4">
        <v>0</v>
      </c>
      <c r="F1324" s="4">
        <v>0</v>
      </c>
      <c r="G1324" s="5">
        <f t="shared" si="42"/>
        <v>2529.41</v>
      </c>
      <c r="H1324" s="5">
        <f t="shared" si="41"/>
        <v>0.5</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17573.57</v>
      </c>
      <c r="D1328" s="4">
        <f>'RAS-funkcijski'!E34</f>
        <v>17730</v>
      </c>
      <c r="E1328" s="4">
        <v>0</v>
      </c>
      <c r="F1328" s="4">
        <v>0</v>
      </c>
      <c r="G1328" s="5">
        <f t="shared" si="42"/>
        <v>1591.0070999999998</v>
      </c>
      <c r="H1328" s="5">
        <f t="shared" si="41"/>
        <v>0.43000000000029104</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182963.44</v>
      </c>
      <c r="D1329" s="4">
        <f>'RAS-funkcijski'!E35</f>
        <v>281972.12</v>
      </c>
      <c r="E1329" s="4">
        <v>0</v>
      </c>
      <c r="F1329" s="4">
        <v>0</v>
      </c>
      <c r="G1329" s="5">
        <f t="shared" si="42"/>
        <v>23154.138080000001</v>
      </c>
      <c r="H1329" s="5">
        <f t="shared" si="41"/>
        <v>0.55999999999767169</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1350.4</v>
      </c>
      <c r="D1344" s="4">
        <f>'RAS-funkcijski'!E50</f>
        <v>60437.64</v>
      </c>
      <c r="E1344" s="4">
        <v>0</v>
      </c>
      <c r="F1344" s="4">
        <v>0</v>
      </c>
      <c r="G1344" s="5">
        <f t="shared" si="42"/>
        <v>5622.3812800000005</v>
      </c>
      <c r="H1344" s="5">
        <f t="shared" si="41"/>
        <v>0.76000000000067303</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1350.4</v>
      </c>
      <c r="D1347" s="4">
        <f>'RAS-funkcijski'!E53</f>
        <v>60437.64</v>
      </c>
      <c r="E1347" s="4">
        <v>0</v>
      </c>
      <c r="F1347" s="4">
        <v>0</v>
      </c>
      <c r="G1347" s="5">
        <f t="shared" si="42"/>
        <v>5989.0583200000001</v>
      </c>
      <c r="H1347" s="5">
        <f t="shared" si="43"/>
        <v>0.76000000000067303</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181613.04</v>
      </c>
      <c r="D1348" s="4">
        <f>'RAS-funkcijski'!E54</f>
        <v>221355.3</v>
      </c>
      <c r="E1348" s="4">
        <v>0</v>
      </c>
      <c r="F1348" s="4">
        <v>0</v>
      </c>
      <c r="G1348" s="5">
        <f t="shared" si="42"/>
        <v>31216.182000000001</v>
      </c>
      <c r="H1348" s="5">
        <f t="shared" si="43"/>
        <v>0.33999999999650754</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181613.04</v>
      </c>
      <c r="D1349" s="4">
        <f>'RAS-funkcijski'!E55</f>
        <v>221355.3</v>
      </c>
      <c r="E1349" s="4">
        <v>0</v>
      </c>
      <c r="F1349" s="4">
        <v>0</v>
      </c>
      <c r="G1349" s="5">
        <f t="shared" si="42"/>
        <v>31840.505639999996</v>
      </c>
      <c r="H1349" s="5">
        <f t="shared" si="43"/>
        <v>0.33999999999650754</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179.18</v>
      </c>
      <c r="E1354" s="4">
        <v>0</v>
      </c>
      <c r="F1354" s="4">
        <v>0</v>
      </c>
      <c r="G1354" s="5">
        <f t="shared" si="42"/>
        <v>20.068160000000002</v>
      </c>
      <c r="H1354" s="5">
        <f t="shared" si="43"/>
        <v>0.18000000000000682</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6909.4</v>
      </c>
      <c r="D1369" s="4">
        <f>'RAS-funkcijski'!E75</f>
        <v>12914.47</v>
      </c>
      <c r="E1369" s="4">
        <v>0</v>
      </c>
      <c r="F1369" s="4">
        <v>0</v>
      </c>
      <c r="G1369" s="5">
        <f t="shared" si="44"/>
        <v>2324.4221399999997</v>
      </c>
      <c r="H1369" s="5">
        <f t="shared" si="43"/>
        <v>0.86999999999898137</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3990.65</v>
      </c>
      <c r="D1370" s="4">
        <f>'RAS-funkcijski'!E76</f>
        <v>10783.22</v>
      </c>
      <c r="E1370" s="4">
        <v>0</v>
      </c>
      <c r="F1370" s="4">
        <v>0</v>
      </c>
      <c r="G1370" s="5">
        <f t="shared" si="44"/>
        <v>1840.1104799999998</v>
      </c>
      <c r="H1370" s="5">
        <f t="shared" si="43"/>
        <v>0.56999999999925421</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2918.75</v>
      </c>
      <c r="D1372" s="4">
        <f>'RAS-funkcijski'!E78</f>
        <v>2131.25</v>
      </c>
      <c r="E1372" s="4">
        <v>0</v>
      </c>
      <c r="F1372" s="4">
        <v>0</v>
      </c>
      <c r="G1372" s="5">
        <f t="shared" si="44"/>
        <v>531.41250000000002</v>
      </c>
      <c r="H1372" s="5">
        <f t="shared" si="43"/>
        <v>0.5</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104488.41</v>
      </c>
      <c r="D1376" s="4">
        <f>'RAS-funkcijski'!E82</f>
        <v>162515.28</v>
      </c>
      <c r="E1376" s="4">
        <v>0</v>
      </c>
      <c r="F1376" s="4">
        <v>0</v>
      </c>
      <c r="G1376" s="5">
        <f t="shared" si="44"/>
        <v>33502.479659999997</v>
      </c>
      <c r="H1376" s="5">
        <f t="shared" si="43"/>
        <v>0.69000000000232831</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45955.43</v>
      </c>
      <c r="D1378" s="4">
        <f>'RAS-funkcijski'!E84</f>
        <v>77472.95</v>
      </c>
      <c r="E1378" s="4">
        <v>0</v>
      </c>
      <c r="F1378" s="4">
        <v>0</v>
      </c>
      <c r="G1378" s="5">
        <f t="shared" si="44"/>
        <v>16072.106400000001</v>
      </c>
      <c r="H1378" s="5">
        <f t="shared" si="43"/>
        <v>0.48000000000320142</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9845.31</v>
      </c>
      <c r="D1380" s="4">
        <f>'RAS-funkcijski'!E86</f>
        <v>20338.330000000002</v>
      </c>
      <c r="E1380" s="4">
        <v>0</v>
      </c>
      <c r="F1380" s="4">
        <v>0</v>
      </c>
      <c r="G1380" s="5">
        <f t="shared" si="44"/>
        <v>4142.8015400000004</v>
      </c>
      <c r="H1380" s="5">
        <f t="shared" si="43"/>
        <v>0.64000000000123691</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48687.67</v>
      </c>
      <c r="D1382" s="4">
        <f>'RAS-funkcijski'!E88</f>
        <v>64704</v>
      </c>
      <c r="E1382" s="4">
        <v>0</v>
      </c>
      <c r="F1382" s="4">
        <v>0</v>
      </c>
      <c r="G1382" s="5">
        <f t="shared" si="44"/>
        <v>14960.03628</v>
      </c>
      <c r="H1382" s="5">
        <f t="shared" si="43"/>
        <v>0.33000000000174623</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8628.39</v>
      </c>
      <c r="D1383" s="4">
        <f>'RAS-funkcijski'!E89</f>
        <v>2820</v>
      </c>
      <c r="E1383" s="4">
        <v>0</v>
      </c>
      <c r="F1383" s="4">
        <v>0</v>
      </c>
      <c r="G1383" s="5">
        <f t="shared" si="44"/>
        <v>1212.81315</v>
      </c>
      <c r="H1383" s="5">
        <f t="shared" si="43"/>
        <v>0.38999999999941792</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8628.39</v>
      </c>
      <c r="D1400" s="4">
        <f>'RAS-funkcijski'!E106</f>
        <v>2820</v>
      </c>
      <c r="E1400" s="4">
        <v>0</v>
      </c>
      <c r="F1400" s="4">
        <v>0</v>
      </c>
      <c r="G1400" s="5">
        <f t="shared" si="44"/>
        <v>1455.3757799999998</v>
      </c>
      <c r="H1400" s="5">
        <f t="shared" si="43"/>
        <v>0.38999999999941792</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22062.739999999998</v>
      </c>
      <c r="D1401" s="4">
        <f>'RAS-funkcijski'!E107</f>
        <v>53787.26</v>
      </c>
      <c r="E1401" s="4">
        <v>0</v>
      </c>
      <c r="F1401" s="4">
        <v>0</v>
      </c>
      <c r="G1401" s="5">
        <f t="shared" si="44"/>
        <v>13352.637779999999</v>
      </c>
      <c r="H1401" s="5">
        <f t="shared" si="43"/>
        <v>0.52000000000407454</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14950</v>
      </c>
      <c r="D1402" s="4">
        <f>'RAS-funkcijski'!E108</f>
        <v>18000</v>
      </c>
      <c r="E1402" s="4">
        <v>0</v>
      </c>
      <c r="F1402" s="4">
        <v>0</v>
      </c>
      <c r="G1402" s="5">
        <f t="shared" si="44"/>
        <v>5298.8</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500</v>
      </c>
      <c r="D1405" s="4">
        <f>'RAS-funkcijski'!E111</f>
        <v>0</v>
      </c>
      <c r="E1405" s="4">
        <v>0</v>
      </c>
      <c r="F1405" s="4">
        <v>0</v>
      </c>
      <c r="G1405" s="5">
        <f t="shared" si="44"/>
        <v>53.5</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6612.74</v>
      </c>
      <c r="D1407" s="4">
        <f>'RAS-funkcijski'!E113</f>
        <v>35787.26</v>
      </c>
      <c r="E1407" s="4">
        <v>0</v>
      </c>
      <c r="F1407" s="4">
        <v>0</v>
      </c>
      <c r="G1407" s="5">
        <f t="shared" si="44"/>
        <v>8522.4113400000006</v>
      </c>
      <c r="H1407" s="5">
        <f t="shared" si="43"/>
        <v>0.52000000000225555</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113325.95000000001</v>
      </c>
      <c r="D1408" s="4">
        <f>'RAS-funkcijski'!E114</f>
        <v>540390.7699999999</v>
      </c>
      <c r="E1408" s="4">
        <v>0</v>
      </c>
      <c r="F1408" s="4">
        <v>0</v>
      </c>
      <c r="G1408" s="5">
        <f t="shared" si="44"/>
        <v>131351.82389999996</v>
      </c>
      <c r="H1408" s="5">
        <f t="shared" si="43"/>
        <v>0.28000000008614734</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107802.38</v>
      </c>
      <c r="D1409" s="4">
        <f>'RAS-funkcijski'!E115</f>
        <v>534982.82999999996</v>
      </c>
      <c r="E1409" s="4">
        <v>0</v>
      </c>
      <c r="F1409" s="4">
        <v>0</v>
      </c>
      <c r="G1409" s="5">
        <f t="shared" si="44"/>
        <v>130732.25244</v>
      </c>
      <c r="H1409" s="5">
        <f t="shared" si="43"/>
        <v>0.55000000004656613</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70022.02</v>
      </c>
      <c r="D1410" s="4">
        <f>'RAS-funkcijski'!E116</f>
        <v>432558.42</v>
      </c>
      <c r="E1410" s="4">
        <v>0</v>
      </c>
      <c r="F1410" s="4">
        <v>0</v>
      </c>
      <c r="G1410" s="5">
        <f t="shared" si="44"/>
        <v>104735.55231999999</v>
      </c>
      <c r="H1410" s="5">
        <f t="shared" ref="H1410:H1473" si="45">ABS(C1410-ROUND(C1410,0))+ABS(D1410-ROUND(D1410,0))</f>
        <v>0.43999999998777639</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37780.36</v>
      </c>
      <c r="D1411" s="4">
        <f>'RAS-funkcijski'!E117</f>
        <v>102424.41</v>
      </c>
      <c r="E1411" s="4">
        <v>0</v>
      </c>
      <c r="F1411" s="4">
        <v>0</v>
      </c>
      <c r="G1411" s="5">
        <f t="shared" si="44"/>
        <v>27417.097340000004</v>
      </c>
      <c r="H1411" s="5">
        <f t="shared" si="45"/>
        <v>0.77000000000407454</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5523.57</v>
      </c>
      <c r="D1412" s="4">
        <f>'RAS-funkcijski'!E118</f>
        <v>5407.94</v>
      </c>
      <c r="E1412" s="4">
        <v>0</v>
      </c>
      <c r="F1412" s="4">
        <v>0</v>
      </c>
      <c r="G1412" s="5">
        <f t="shared" si="44"/>
        <v>1862.6972999999998</v>
      </c>
      <c r="H1412" s="5">
        <f t="shared" si="45"/>
        <v>0.49000000000069122</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5523.57</v>
      </c>
      <c r="D1414" s="4">
        <f>'RAS-funkcijski'!E120</f>
        <v>5407.94</v>
      </c>
      <c r="E1414" s="4">
        <v>0</v>
      </c>
      <c r="F1414" s="4">
        <v>0</v>
      </c>
      <c r="G1414" s="5">
        <f t="shared" si="44"/>
        <v>1895.3762000000002</v>
      </c>
      <c r="H1414" s="5">
        <f t="shared" si="45"/>
        <v>0.49000000000069122</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15077.09</v>
      </c>
      <c r="D1423" s="4">
        <f>'RAS-funkcijski'!E129</f>
        <v>22540.09</v>
      </c>
      <c r="E1423" s="4">
        <v>0</v>
      </c>
      <c r="F1423" s="4">
        <v>0</v>
      </c>
      <c r="G1423" s="5">
        <f t="shared" si="44"/>
        <v>7519.6587500000005</v>
      </c>
      <c r="H1423" s="5">
        <f t="shared" si="45"/>
        <v>0.18000000000029104</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9270</v>
      </c>
      <c r="D1427" s="4">
        <f>'RAS-funkcijski'!E133</f>
        <v>12160</v>
      </c>
      <c r="E1427" s="4">
        <v>0</v>
      </c>
      <c r="F1427" s="4">
        <v>0</v>
      </c>
      <c r="G1427" s="5">
        <f t="shared" si="44"/>
        <v>4333.1100000000006</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221.68</v>
      </c>
      <c r="D1432" s="4">
        <f>'RAS-funkcijski'!E138</f>
        <v>2890.09</v>
      </c>
      <c r="E1432" s="4">
        <v>0</v>
      </c>
      <c r="F1432" s="4">
        <v>0</v>
      </c>
      <c r="G1432" s="5">
        <f t="shared" ref="G1432:G1479" si="46">B1432/1000*C1432+B1432/500*D1432</f>
        <v>804.2492400000001</v>
      </c>
      <c r="H1432" s="5">
        <f t="shared" si="45"/>
        <v>0.4100000000001387</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5585.41</v>
      </c>
      <c r="D1434" s="4">
        <f>'RAS-funkcijski'!E140</f>
        <v>7490</v>
      </c>
      <c r="E1434" s="4">
        <v>0</v>
      </c>
      <c r="F1434" s="4">
        <v>0</v>
      </c>
      <c r="G1434" s="5">
        <f t="shared" si="46"/>
        <v>2796.8957600000003</v>
      </c>
      <c r="H1434" s="5">
        <f t="shared" si="45"/>
        <v>0.40999999999985448</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611226.49000000011</v>
      </c>
      <c r="D1435" s="15">
        <f>'RAS-funkcijski'!E141</f>
        <v>1330386.51</v>
      </c>
      <c r="E1435" s="15">
        <v>0</v>
      </c>
      <c r="F1435" s="15">
        <v>0</v>
      </c>
      <c r="G1435" s="16">
        <f t="shared" si="46"/>
        <v>448263.93287000008</v>
      </c>
      <c r="H1435" s="16">
        <f t="shared" si="45"/>
        <v>0.98000000009778887</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71806.94</v>
      </c>
      <c r="D1436" s="9">
        <f>'P-VRIO'!E5</f>
        <v>0</v>
      </c>
      <c r="E1436" s="9">
        <v>0</v>
      </c>
      <c r="F1436" s="9">
        <v>0</v>
      </c>
      <c r="G1436" s="10">
        <f t="shared" si="46"/>
        <v>71.806939999999997</v>
      </c>
      <c r="H1436" s="10">
        <f t="shared" si="45"/>
        <v>5.9999999997671694E-2</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66895.62</v>
      </c>
      <c r="D1437" s="4">
        <f>'P-VRIO'!E6</f>
        <v>0</v>
      </c>
      <c r="E1437" s="4">
        <v>0</v>
      </c>
      <c r="F1437" s="4">
        <v>0</v>
      </c>
      <c r="G1437" s="5">
        <f t="shared" si="46"/>
        <v>133.79123999999999</v>
      </c>
      <c r="H1437" s="5">
        <f t="shared" si="45"/>
        <v>0.38000000000465661</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66895.62</v>
      </c>
      <c r="D1438" s="4">
        <f>'P-VRIO'!E7</f>
        <v>0</v>
      </c>
      <c r="E1438" s="4">
        <v>0</v>
      </c>
      <c r="F1438" s="4">
        <v>0</v>
      </c>
      <c r="G1438" s="5">
        <f t="shared" si="46"/>
        <v>200.68686</v>
      </c>
      <c r="H1438" s="5">
        <f t="shared" si="45"/>
        <v>0.38000000000465661</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66895.62</v>
      </c>
      <c r="D1440" s="4">
        <f>'P-VRIO'!E9</f>
        <v>0</v>
      </c>
      <c r="E1440" s="4">
        <v>0</v>
      </c>
      <c r="F1440" s="4">
        <v>0</v>
      </c>
      <c r="G1440" s="5">
        <f t="shared" si="46"/>
        <v>334.47809999999998</v>
      </c>
      <c r="H1440" s="5">
        <f t="shared" si="45"/>
        <v>0.38000000000465661</v>
      </c>
      <c r="I1440" s="13">
        <f t="shared" si="47"/>
        <v>127.10167800155753</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4911.32</v>
      </c>
      <c r="D1453" s="4">
        <f>'P-VRIO'!E22</f>
        <v>0</v>
      </c>
      <c r="E1453" s="4">
        <v>0</v>
      </c>
      <c r="F1453" s="4">
        <v>0</v>
      </c>
      <c r="G1453" s="5">
        <f t="shared" si="46"/>
        <v>88.403759999999991</v>
      </c>
      <c r="H1453" s="5">
        <f t="shared" si="45"/>
        <v>0.31999999999970896</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4911.32</v>
      </c>
      <c r="D1454" s="4">
        <f>'P-VRIO'!E23</f>
        <v>0</v>
      </c>
      <c r="E1454" s="4">
        <v>0</v>
      </c>
      <c r="F1454" s="4">
        <v>0</v>
      </c>
      <c r="G1454" s="5">
        <f t="shared" si="46"/>
        <v>93.315079999999995</v>
      </c>
      <c r="H1454" s="5">
        <f t="shared" si="45"/>
        <v>0.31999999999970896</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4911.32</v>
      </c>
      <c r="D1456" s="4">
        <f>'P-VRIO'!E25</f>
        <v>0</v>
      </c>
      <c r="E1456" s="4">
        <v>0</v>
      </c>
      <c r="F1456" s="4">
        <v>0</v>
      </c>
      <c r="G1456" s="5">
        <f t="shared" si="46"/>
        <v>103.13772</v>
      </c>
      <c r="H1456" s="5">
        <f t="shared" si="45"/>
        <v>0.31999999999970896</v>
      </c>
      <c r="I1456" s="13">
        <f t="shared" si="49"/>
        <v>33.004070399969983</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14059.82</v>
      </c>
      <c r="D1480" s="9"/>
      <c r="E1480" s="9">
        <v>0</v>
      </c>
      <c r="F1480" s="9">
        <v>0</v>
      </c>
      <c r="G1480" s="10">
        <f t="shared" ref="G1480:G1511" si="52">B1480/1000*C1480</f>
        <v>14.05982</v>
      </c>
      <c r="H1480" s="10">
        <f t="shared" ref="H1480:H1511" si="53">ABS(C1480-ROUND(C1480,0))</f>
        <v>0.18000000000029104</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1496538.2899999998</v>
      </c>
      <c r="D1481" s="4">
        <v>0</v>
      </c>
      <c r="E1481" s="4">
        <v>0</v>
      </c>
      <c r="F1481" s="4">
        <v>0</v>
      </c>
      <c r="G1481" s="5">
        <f t="shared" si="52"/>
        <v>2993.0765799999995</v>
      </c>
      <c r="H1481" s="5">
        <f t="shared" si="53"/>
        <v>0.28999999980442226</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395455.20999999996</v>
      </c>
      <c r="D1483" s="4">
        <v>0</v>
      </c>
      <c r="E1483" s="4">
        <v>0</v>
      </c>
      <c r="F1483" s="4">
        <v>0</v>
      </c>
      <c r="G1483" s="5">
        <f t="shared" si="52"/>
        <v>1581.8208399999999</v>
      </c>
      <c r="H1483" s="5">
        <f t="shared" si="53"/>
        <v>0.2099999999627471</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89855.74</v>
      </c>
      <c r="D1484" s="4">
        <v>0</v>
      </c>
      <c r="E1484" s="4">
        <v>0</v>
      </c>
      <c r="F1484" s="4">
        <v>0</v>
      </c>
      <c r="G1484" s="5">
        <f t="shared" si="52"/>
        <v>449.27870000000001</v>
      </c>
      <c r="H1484" s="5">
        <f t="shared" si="53"/>
        <v>0.25999999999476131</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267182.46999999997</v>
      </c>
      <c r="D1485" s="4">
        <v>0</v>
      </c>
      <c r="E1485" s="4">
        <v>0</v>
      </c>
      <c r="F1485" s="4">
        <v>0</v>
      </c>
      <c r="G1485" s="5">
        <f t="shared" si="52"/>
        <v>1603.0948199999998</v>
      </c>
      <c r="H1485" s="5">
        <f t="shared" si="53"/>
        <v>0.46999999997206032</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0</v>
      </c>
      <c r="D1486" s="4">
        <v>0</v>
      </c>
      <c r="E1486" s="4">
        <v>0</v>
      </c>
      <c r="F1486" s="4">
        <v>0</v>
      </c>
      <c r="G1486" s="5">
        <f t="shared" si="52"/>
        <v>0</v>
      </c>
      <c r="H1486" s="5">
        <f t="shared" si="53"/>
        <v>0</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19955.919999999998</v>
      </c>
      <c r="D1489" s="4">
        <v>0</v>
      </c>
      <c r="E1489" s="4">
        <v>0</v>
      </c>
      <c r="F1489" s="4">
        <v>0</v>
      </c>
      <c r="G1489" s="5">
        <f t="shared" si="52"/>
        <v>199.55919999999998</v>
      </c>
      <c r="H1489" s="5">
        <f t="shared" si="53"/>
        <v>8.000000000174623E-2</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8087.31</v>
      </c>
      <c r="D1490" s="4">
        <v>0</v>
      </c>
      <c r="E1490" s="4">
        <v>0</v>
      </c>
      <c r="F1490" s="4">
        <v>0</v>
      </c>
      <c r="G1490" s="5">
        <f t="shared" si="52"/>
        <v>88.960409999999996</v>
      </c>
      <c r="H1490" s="5">
        <f t="shared" si="53"/>
        <v>0.31000000000040018</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10373.77</v>
      </c>
      <c r="D1491" s="4">
        <v>0</v>
      </c>
      <c r="E1491" s="4">
        <v>0</v>
      </c>
      <c r="F1491" s="4">
        <v>0</v>
      </c>
      <c r="G1491" s="5">
        <f t="shared" si="52"/>
        <v>124.48524</v>
      </c>
      <c r="H1491" s="5">
        <f t="shared" si="53"/>
        <v>0.22999999999956344</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765868.38</v>
      </c>
      <c r="D1492" s="4">
        <v>0</v>
      </c>
      <c r="E1492" s="4">
        <v>0</v>
      </c>
      <c r="F1492" s="4">
        <v>0</v>
      </c>
      <c r="G1492" s="5">
        <f t="shared" si="52"/>
        <v>9956.2889400000004</v>
      </c>
      <c r="H1492" s="5">
        <f t="shared" si="53"/>
        <v>0.38000000000465661</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335214.7</v>
      </c>
      <c r="D1493" s="4">
        <v>0</v>
      </c>
      <c r="E1493" s="4">
        <v>0</v>
      </c>
      <c r="F1493" s="4">
        <v>0</v>
      </c>
      <c r="G1493" s="5">
        <f t="shared" si="52"/>
        <v>4693.0057999999999</v>
      </c>
      <c r="H1493" s="5">
        <f t="shared" si="53"/>
        <v>0.29999999998835847</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335214.7</v>
      </c>
      <c r="D1497" s="4">
        <v>0</v>
      </c>
      <c r="E1497" s="4">
        <v>0</v>
      </c>
      <c r="F1497" s="4">
        <v>0</v>
      </c>
      <c r="G1497" s="5">
        <f t="shared" si="52"/>
        <v>6033.8645999999999</v>
      </c>
      <c r="H1497" s="5">
        <f t="shared" si="53"/>
        <v>0.29999999998835847</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1103174.71</v>
      </c>
      <c r="D1499" s="4">
        <v>0</v>
      </c>
      <c r="E1499" s="4">
        <v>0</v>
      </c>
      <c r="F1499" s="4">
        <v>0</v>
      </c>
      <c r="G1499" s="5">
        <f t="shared" si="52"/>
        <v>22063.494200000001</v>
      </c>
      <c r="H1499" s="5">
        <f t="shared" si="53"/>
        <v>0.2900000000372529</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395402.82999999996</v>
      </c>
      <c r="D1501" s="4">
        <v>0</v>
      </c>
      <c r="E1501" s="4">
        <v>0</v>
      </c>
      <c r="F1501" s="4">
        <v>0</v>
      </c>
      <c r="G1501" s="5">
        <f t="shared" si="52"/>
        <v>8698.8622599999981</v>
      </c>
      <c r="H1501" s="5">
        <f t="shared" si="53"/>
        <v>0.17000000004190952</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89855.74</v>
      </c>
      <c r="D1502" s="4">
        <v>0</v>
      </c>
      <c r="E1502" s="4">
        <v>0</v>
      </c>
      <c r="F1502" s="4">
        <v>0</v>
      </c>
      <c r="G1502" s="5">
        <f t="shared" si="52"/>
        <v>2066.6820200000002</v>
      </c>
      <c r="H1502" s="5">
        <f t="shared" si="53"/>
        <v>0.25999999999476131</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266259.84999999998</v>
      </c>
      <c r="D1503" s="4">
        <v>0</v>
      </c>
      <c r="E1503" s="4">
        <v>0</v>
      </c>
      <c r="F1503" s="4">
        <v>0</v>
      </c>
      <c r="G1503" s="5">
        <f t="shared" si="52"/>
        <v>6390.2363999999998</v>
      </c>
      <c r="H1503" s="5">
        <f t="shared" si="53"/>
        <v>0.15000000002328306</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0</v>
      </c>
      <c r="D1504" s="4">
        <v>0</v>
      </c>
      <c r="E1504" s="4">
        <v>0</v>
      </c>
      <c r="F1504" s="4">
        <v>0</v>
      </c>
      <c r="G1504" s="5">
        <f t="shared" si="52"/>
        <v>0</v>
      </c>
      <c r="H1504" s="5">
        <f t="shared" si="53"/>
        <v>0</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20374.52</v>
      </c>
      <c r="D1507" s="4">
        <v>0</v>
      </c>
      <c r="E1507" s="4">
        <v>0</v>
      </c>
      <c r="F1507" s="4">
        <v>0</v>
      </c>
      <c r="G1507" s="5">
        <f t="shared" si="52"/>
        <v>570.48656000000005</v>
      </c>
      <c r="H1507" s="5">
        <f t="shared" si="53"/>
        <v>0.47999999999956344</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8087.31</v>
      </c>
      <c r="D1508" s="4">
        <v>0</v>
      </c>
      <c r="E1508" s="4">
        <v>0</v>
      </c>
      <c r="F1508" s="4">
        <v>0</v>
      </c>
      <c r="G1508" s="5">
        <f t="shared" si="52"/>
        <v>234.53199000000004</v>
      </c>
      <c r="H1508" s="5">
        <f t="shared" si="53"/>
        <v>0.31000000000040018</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10825.41</v>
      </c>
      <c r="D1509" s="4">
        <v>0</v>
      </c>
      <c r="E1509" s="4">
        <v>0</v>
      </c>
      <c r="F1509" s="4">
        <v>0</v>
      </c>
      <c r="G1509" s="5">
        <f t="shared" si="52"/>
        <v>324.76229999999998</v>
      </c>
      <c r="H1509" s="5">
        <f t="shared" si="53"/>
        <v>0.40999999999985448</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705051.18</v>
      </c>
      <c r="D1510" s="4">
        <v>0</v>
      </c>
      <c r="E1510" s="4">
        <v>0</v>
      </c>
      <c r="F1510" s="4">
        <v>0</v>
      </c>
      <c r="G1510" s="5">
        <f t="shared" si="52"/>
        <v>21856.586580000003</v>
      </c>
      <c r="H1510" s="5">
        <f t="shared" si="53"/>
        <v>0.18000000005122274</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2720.7</v>
      </c>
      <c r="D1511" s="4">
        <v>0</v>
      </c>
      <c r="E1511" s="4">
        <v>0</v>
      </c>
      <c r="F1511" s="4">
        <v>0</v>
      </c>
      <c r="G1511" s="5">
        <f t="shared" si="52"/>
        <v>87.062399999999997</v>
      </c>
      <c r="H1511" s="5">
        <f t="shared" si="53"/>
        <v>0.3000000000001819</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2720.7</v>
      </c>
      <c r="D1515" s="4">
        <v>0</v>
      </c>
      <c r="E1515" s="4">
        <v>0</v>
      </c>
      <c r="F1515" s="4">
        <v>0</v>
      </c>
      <c r="G1515" s="5">
        <f t="shared" si="54"/>
        <v>97.945199999999986</v>
      </c>
      <c r="H1515" s="5">
        <f t="shared" si="55"/>
        <v>0.3000000000001819</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407423.39999999991</v>
      </c>
      <c r="D1517" s="4">
        <v>0</v>
      </c>
      <c r="E1517" s="4">
        <v>0</v>
      </c>
      <c r="F1517" s="4">
        <v>0</v>
      </c>
      <c r="G1517" s="5">
        <f t="shared" si="54"/>
        <v>15482.089199999997</v>
      </c>
      <c r="H1517" s="5">
        <f t="shared" si="55"/>
        <v>0.39999999990686774</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0</v>
      </c>
      <c r="D1518" s="4">
        <v>0</v>
      </c>
      <c r="E1518" s="4">
        <v>0</v>
      </c>
      <c r="F1518" s="4">
        <v>0</v>
      </c>
      <c r="G1518" s="5">
        <f t="shared" si="54"/>
        <v>0</v>
      </c>
      <c r="H1518" s="5">
        <f t="shared" si="55"/>
        <v>0</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0</v>
      </c>
      <c r="D1524" s="4">
        <v>0</v>
      </c>
      <c r="E1524" s="4">
        <v>0</v>
      </c>
      <c r="F1524" s="4">
        <v>0</v>
      </c>
      <c r="G1524" s="5">
        <f t="shared" si="54"/>
        <v>0</v>
      </c>
      <c r="H1524" s="5">
        <f t="shared" si="55"/>
        <v>0</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0</v>
      </c>
      <c r="D1530" s="4">
        <v>0</v>
      </c>
      <c r="E1530" s="4">
        <v>0</v>
      </c>
      <c r="F1530" s="4">
        <v>0</v>
      </c>
      <c r="G1530" s="5">
        <f t="shared" si="54"/>
        <v>0</v>
      </c>
      <c r="H1530" s="5">
        <f t="shared" si="55"/>
        <v>0</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0</v>
      </c>
      <c r="D1531" s="4">
        <v>0</v>
      </c>
      <c r="E1531" s="4">
        <v>0</v>
      </c>
      <c r="F1531" s="4">
        <v>0</v>
      </c>
      <c r="G1531" s="5">
        <f t="shared" si="54"/>
        <v>0</v>
      </c>
      <c r="H1531" s="5">
        <f t="shared" si="55"/>
        <v>0</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407423.4</v>
      </c>
      <c r="D1576" s="4">
        <v>0</v>
      </c>
      <c r="E1576" s="4">
        <v>0</v>
      </c>
      <c r="F1576" s="4">
        <v>0</v>
      </c>
      <c r="G1576" s="5">
        <f t="shared" si="56"/>
        <v>39520.069800000005</v>
      </c>
      <c r="H1576" s="5">
        <f t="shared" si="57"/>
        <v>0.40000000002328306</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5690.38</v>
      </c>
      <c r="D1578" s="4">
        <v>0</v>
      </c>
      <c r="E1578" s="4">
        <v>0</v>
      </c>
      <c r="F1578" s="4">
        <v>0</v>
      </c>
      <c r="G1578" s="5">
        <f t="shared" si="56"/>
        <v>563.34762000000001</v>
      </c>
      <c r="H1578" s="5">
        <f t="shared" si="57"/>
        <v>0.38000000000010914</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60817.2</v>
      </c>
      <c r="D1579" s="4">
        <v>0</v>
      </c>
      <c r="E1579" s="4">
        <v>0</v>
      </c>
      <c r="F1579" s="4">
        <v>0</v>
      </c>
      <c r="G1579" s="5">
        <f t="shared" si="56"/>
        <v>6081.72</v>
      </c>
      <c r="H1579" s="5">
        <f t="shared" si="57"/>
        <v>0.19999999999708962</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340915.82</v>
      </c>
      <c r="D1580" s="15">
        <v>0</v>
      </c>
      <c r="E1580" s="15">
        <v>0</v>
      </c>
      <c r="F1580" s="15">
        <v>0</v>
      </c>
      <c r="G1580" s="16">
        <f t="shared" si="56"/>
        <v>34432.497820000004</v>
      </c>
      <c r="H1580" s="16">
        <f t="shared" si="57"/>
        <v>0.17999999999301508</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137" t="s">
        <v>12</v>
      </c>
    </row>
    <row r="2" spans="1:1" ht="12.75" customHeight="1" x14ac:dyDescent="0.2">
      <c r="A2" s="164"/>
    </row>
    <row r="3" spans="1:1" ht="22.5" customHeight="1" x14ac:dyDescent="0.2">
      <c r="A3" s="165" t="s">
        <v>13</v>
      </c>
    </row>
    <row r="4" spans="1:1" ht="39" customHeight="1" x14ac:dyDescent="0.2">
      <c r="A4" s="165" t="s">
        <v>14</v>
      </c>
    </row>
    <row r="5" spans="1:1" ht="51.75" customHeight="1" x14ac:dyDescent="0.2">
      <c r="A5" s="165" t="s">
        <v>15</v>
      </c>
    </row>
    <row r="6" spans="1:1" ht="27" customHeight="1" x14ac:dyDescent="0.2">
      <c r="A6" s="166" t="s">
        <v>16</v>
      </c>
    </row>
    <row r="7" spans="1:1" ht="56.25" customHeight="1" x14ac:dyDescent="0.2">
      <c r="A7" s="167" t="s">
        <v>17</v>
      </c>
    </row>
    <row r="8" spans="1:1" ht="78.75" customHeight="1" x14ac:dyDescent="0.2">
      <c r="A8" s="168" t="s">
        <v>18</v>
      </c>
    </row>
    <row r="9" spans="1:1" ht="22.5" customHeight="1" x14ac:dyDescent="0.2">
      <c r="A9" s="165" t="s">
        <v>19</v>
      </c>
    </row>
    <row r="10" spans="1:1" ht="56.25" customHeight="1" x14ac:dyDescent="0.2">
      <c r="A10" s="165" t="s">
        <v>20</v>
      </c>
    </row>
    <row r="11" spans="1:1" ht="42.75" customHeight="1" x14ac:dyDescent="0.2">
      <c r="A11" s="13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I23" sqref="I23"/>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1" t="s">
        <v>22</v>
      </c>
      <c r="B2" s="292"/>
      <c r="C2" s="292"/>
      <c r="D2" s="292"/>
      <c r="E2" s="292"/>
      <c r="F2" s="292"/>
      <c r="G2" s="292"/>
      <c r="H2" s="292"/>
      <c r="I2" s="292"/>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28" t="s">
        <v>23</v>
      </c>
      <c r="J3" s="7"/>
      <c r="K3" s="7"/>
      <c r="L3" s="7"/>
      <c r="M3" s="7"/>
      <c r="N3" s="7"/>
      <c r="O3" s="7"/>
      <c r="P3" s="7"/>
      <c r="Q3" s="7"/>
      <c r="R3" s="7"/>
      <c r="S3" s="7"/>
      <c r="T3" s="7"/>
      <c r="U3" s="7"/>
      <c r="V3" s="7"/>
      <c r="W3" s="7"/>
      <c r="X3" s="7"/>
    </row>
    <row r="4" spans="1:24" ht="32.25" customHeight="1" x14ac:dyDescent="0.35">
      <c r="A4" s="293" t="s">
        <v>24</v>
      </c>
      <c r="B4" s="294"/>
      <c r="C4" s="294"/>
      <c r="D4" s="294"/>
      <c r="E4" s="294"/>
      <c r="F4" s="294"/>
      <c r="G4" s="294"/>
      <c r="H4" s="294"/>
      <c r="I4" s="294"/>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33">
        <v>26215</v>
      </c>
      <c r="H6" s="21" t="s">
        <v>26</v>
      </c>
      <c r="I6" s="22" t="s">
        <v>27</v>
      </c>
      <c r="J6" s="7"/>
      <c r="L6" s="7"/>
      <c r="M6" s="7"/>
      <c r="N6" s="7"/>
      <c r="O6" s="7"/>
      <c r="P6" s="7"/>
      <c r="Q6" s="7"/>
      <c r="R6" s="7"/>
      <c r="S6" s="7"/>
      <c r="T6" s="7"/>
      <c r="U6" s="7"/>
      <c r="V6" s="7"/>
      <c r="W6" s="7"/>
      <c r="X6" s="7"/>
    </row>
    <row r="7" spans="1:24" ht="15" customHeight="1" x14ac:dyDescent="0.2">
      <c r="B7" s="23"/>
      <c r="C7" s="24"/>
      <c r="D7" s="25"/>
      <c r="E7" s="295" t="s">
        <v>28</v>
      </c>
      <c r="F7" s="298" t="s">
        <v>29</v>
      </c>
      <c r="G7" s="299"/>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32" t="s">
        <v>31</v>
      </c>
      <c r="E8" s="296"/>
      <c r="F8" s="287" t="s">
        <v>32</v>
      </c>
      <c r="G8" s="288"/>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296"/>
      <c r="F9" s="289" t="s">
        <v>33</v>
      </c>
      <c r="G9" s="290"/>
      <c r="H9" s="169" t="str">
        <f>IF(OR(MAX(Skriveni!C1299:D1435)&gt;0,MIN(Skriveni!C1299:D1435)&lt;0),"DA","NE")</f>
        <v>DA</v>
      </c>
      <c r="I9" s="170" t="str">
        <f>IF(AND(H9="DA",Kont!E317&gt;0),Kont!E317,"Nema")</f>
        <v>Nema</v>
      </c>
      <c r="J9" s="7"/>
      <c r="L9" s="7"/>
      <c r="M9" s="7"/>
      <c r="N9" s="7"/>
      <c r="O9" s="7"/>
      <c r="P9" s="7"/>
      <c r="Q9" s="7"/>
      <c r="R9" s="7"/>
      <c r="S9" s="7"/>
      <c r="T9" s="7"/>
      <c r="U9" s="7"/>
      <c r="V9" s="7"/>
      <c r="W9" s="7"/>
      <c r="X9" s="7"/>
    </row>
    <row r="10" spans="1:24" ht="12.75" customHeight="1" x14ac:dyDescent="0.2">
      <c r="B10" s="20" t="s">
        <v>34</v>
      </c>
      <c r="C10" s="134" t="s">
        <v>35</v>
      </c>
      <c r="E10" s="296"/>
      <c r="F10" s="287" t="s">
        <v>36</v>
      </c>
      <c r="G10" s="288"/>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297"/>
      <c r="F11" s="300" t="s">
        <v>37</v>
      </c>
      <c r="G11" s="301"/>
      <c r="H11" s="32" t="str">
        <f>IF(OR(MAX(Skriveni!C1480:C1580)&gt;0,MIN(Skriveni!C1480:C1580)&lt;0),"DA","NE")</f>
        <v>DA</v>
      </c>
      <c r="I11" s="171" t="str">
        <f>IF(AND(H11="DA",Kont!E312&gt;0),Kont!E312,"Nema")</f>
        <v>Nema</v>
      </c>
      <c r="J11" s="7"/>
      <c r="K11" s="7"/>
      <c r="L11" s="7"/>
      <c r="M11" s="7"/>
      <c r="N11" s="7"/>
      <c r="O11" s="7"/>
      <c r="P11" s="7"/>
      <c r="Q11" s="7"/>
      <c r="R11" s="7"/>
      <c r="S11" s="7"/>
      <c r="T11" s="7"/>
      <c r="U11" s="7"/>
      <c r="V11" s="7"/>
      <c r="W11" s="7"/>
      <c r="X11" s="7"/>
    </row>
    <row r="12" spans="1:24" ht="12.75" customHeight="1" x14ac:dyDescent="0.2">
      <c r="B12" s="20" t="s">
        <v>38</v>
      </c>
      <c r="C12" s="135"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29" t="s">
        <v>40</v>
      </c>
      <c r="B15" s="305" t="s">
        <v>41</v>
      </c>
      <c r="C15" s="306"/>
      <c r="D15" s="306"/>
      <c r="E15" s="306"/>
      <c r="F15" s="307"/>
      <c r="G15" s="130" t="s">
        <v>42</v>
      </c>
      <c r="H15" s="130" t="s">
        <v>43</v>
      </c>
      <c r="I15" s="131" t="s">
        <v>44</v>
      </c>
      <c r="J15" s="7"/>
      <c r="K15" s="7"/>
      <c r="L15" s="7"/>
      <c r="M15" s="7"/>
      <c r="N15" s="7"/>
      <c r="O15" s="7"/>
      <c r="P15" s="7"/>
      <c r="Q15" s="7"/>
      <c r="R15" s="7"/>
      <c r="S15" s="7"/>
      <c r="T15" s="7"/>
      <c r="U15" s="7"/>
      <c r="V15" s="7"/>
      <c r="W15" s="7"/>
      <c r="X15" s="7"/>
    </row>
    <row r="16" spans="1:24" ht="12.75" customHeight="1" x14ac:dyDescent="0.2">
      <c r="A16" s="302" t="s">
        <v>29</v>
      </c>
      <c r="B16" s="308" t="str">
        <f>'PR-RAS'!B6</f>
        <v xml:space="preserve">PRIHODI POSLOVANJA (šifre 61+62+63+64+65+66+67+68) </v>
      </c>
      <c r="C16" s="309"/>
      <c r="D16" s="309"/>
      <c r="E16" s="309"/>
      <c r="F16" s="310"/>
      <c r="G16" s="33" t="str">
        <f>'PR-RAS'!C6</f>
        <v>6</v>
      </c>
      <c r="H16" s="172">
        <f>'PR-RAS'!D6</f>
        <v>817409.36</v>
      </c>
      <c r="I16" s="172">
        <f>'PR-RAS'!E6</f>
        <v>849516.2</v>
      </c>
      <c r="J16" s="7"/>
      <c r="K16" s="7"/>
      <c r="L16" s="7"/>
      <c r="M16" s="7"/>
      <c r="N16" s="7"/>
      <c r="O16" s="7"/>
      <c r="P16" s="7"/>
      <c r="Q16" s="7"/>
      <c r="R16" s="7"/>
      <c r="S16" s="7"/>
      <c r="T16" s="7"/>
      <c r="U16" s="7"/>
      <c r="V16" s="7"/>
      <c r="W16" s="7"/>
      <c r="X16" s="7"/>
    </row>
    <row r="17" spans="1:24" ht="12.75" customHeight="1" x14ac:dyDescent="0.2">
      <c r="A17" s="303"/>
      <c r="B17" s="311" t="str">
        <f>'PR-RAS'!B151</f>
        <v xml:space="preserve">RASHODI POSLOVANJA (šifre 31+32+34+35+36+37+38) </v>
      </c>
      <c r="C17" s="312"/>
      <c r="D17" s="312"/>
      <c r="E17" s="312"/>
      <c r="F17" s="313"/>
      <c r="G17" s="34" t="str">
        <f>'PR-RAS'!C151</f>
        <v>3</v>
      </c>
      <c r="H17" s="172">
        <f>'PR-RAS'!D151</f>
        <v>491820.43</v>
      </c>
      <c r="I17" s="172">
        <f>'PR-RAS'!E151</f>
        <v>561636.31000000006</v>
      </c>
      <c r="J17" s="7"/>
      <c r="K17" s="7"/>
      <c r="L17" s="7"/>
      <c r="M17" s="7"/>
      <c r="N17" s="7"/>
      <c r="O17" s="7"/>
      <c r="P17" s="7"/>
      <c r="Q17" s="7"/>
      <c r="R17" s="7"/>
      <c r="S17" s="7"/>
      <c r="T17" s="7"/>
      <c r="U17" s="7"/>
      <c r="V17" s="7"/>
      <c r="W17" s="7"/>
      <c r="X17" s="7"/>
    </row>
    <row r="18" spans="1:24" ht="12.75" customHeight="1" x14ac:dyDescent="0.2">
      <c r="A18" s="303"/>
      <c r="B18" s="311" t="str">
        <f>'PR-RAS'!B645</f>
        <v>Višak prihoda i primitaka raspoloživ u sljedećem razdoblju (šifre X005 + '9221-9222' - Y005 - '9222-9221')</v>
      </c>
      <c r="C18" s="312"/>
      <c r="D18" s="312"/>
      <c r="E18" s="312"/>
      <c r="F18" s="313"/>
      <c r="G18" s="34" t="str">
        <f>'PR-RAS'!C645</f>
        <v>X006</v>
      </c>
      <c r="H18" s="172">
        <f>'PR-RAS'!D645</f>
        <v>549145.44999999995</v>
      </c>
      <c r="I18" s="172">
        <f>'PR-RAS'!E645</f>
        <v>400757.6799999997</v>
      </c>
      <c r="J18" s="7"/>
      <c r="K18" s="7"/>
      <c r="L18" s="7"/>
      <c r="M18" s="7"/>
      <c r="N18" s="7"/>
      <c r="O18" s="7"/>
      <c r="P18" s="7"/>
      <c r="Q18" s="7"/>
      <c r="R18" s="7"/>
      <c r="S18" s="7"/>
      <c r="T18" s="7"/>
      <c r="U18" s="7"/>
      <c r="V18" s="7"/>
      <c r="W18" s="7"/>
      <c r="X18" s="7"/>
    </row>
    <row r="19" spans="1:24" ht="12.75" customHeight="1" x14ac:dyDescent="0.2">
      <c r="A19" s="304"/>
      <c r="B19" s="314" t="str">
        <f>'PR-RAS'!B646</f>
        <v>Manjak prihoda i primitaka za pokriće u sljedećem razdoblju (šifre Y005 + '9222-9221' - X005 - '9221-9222' )</v>
      </c>
      <c r="C19" s="315"/>
      <c r="D19" s="315"/>
      <c r="E19" s="315"/>
      <c r="F19" s="316"/>
      <c r="G19" s="35" t="str">
        <f>'PR-RAS'!C646</f>
        <v>Y006</v>
      </c>
      <c r="H19" s="173">
        <f>'PR-RAS'!D646</f>
        <v>0</v>
      </c>
      <c r="I19" s="173">
        <f>'PR-RAS'!E646</f>
        <v>0</v>
      </c>
      <c r="J19" s="7"/>
      <c r="K19" s="7"/>
      <c r="L19" s="7"/>
      <c r="M19" s="7"/>
      <c r="N19" s="7"/>
      <c r="O19" s="7"/>
      <c r="P19" s="7"/>
      <c r="Q19" s="7"/>
      <c r="R19" s="7"/>
      <c r="S19" s="7"/>
      <c r="T19" s="7"/>
      <c r="U19" s="7"/>
      <c r="V19" s="7"/>
      <c r="W19" s="7"/>
      <c r="X19" s="7"/>
    </row>
    <row r="20" spans="1:24" ht="12.75" customHeight="1" x14ac:dyDescent="0.2">
      <c r="A20" s="302" t="s">
        <v>32</v>
      </c>
      <c r="B20" s="308" t="str">
        <f>BILANCA!B7</f>
        <v>Nefinancijska imovina (šifre 01+02+03+04+05+06)</v>
      </c>
      <c r="C20" s="309"/>
      <c r="D20" s="309"/>
      <c r="E20" s="309"/>
      <c r="F20" s="310"/>
      <c r="G20" s="78" t="str">
        <f>BILANCA!C7</f>
        <v>B002</v>
      </c>
      <c r="H20" s="174">
        <f>BILANCA!D7</f>
        <v>2758759.2499999995</v>
      </c>
      <c r="I20" s="175">
        <f>BILANCA!E7</f>
        <v>3468752.1500000004</v>
      </c>
      <c r="J20" s="7"/>
      <c r="K20" s="7"/>
      <c r="L20" s="7"/>
      <c r="M20" s="7"/>
      <c r="N20" s="7"/>
      <c r="O20" s="7"/>
      <c r="P20" s="7"/>
      <c r="Q20" s="7"/>
      <c r="R20" s="7"/>
      <c r="S20" s="7"/>
      <c r="T20" s="7"/>
      <c r="U20" s="7"/>
      <c r="V20" s="7"/>
      <c r="W20" s="7"/>
      <c r="X20" s="7"/>
    </row>
    <row r="21" spans="1:24" ht="12.75" customHeight="1" x14ac:dyDescent="0.2">
      <c r="A21" s="303"/>
      <c r="B21" s="311" t="str">
        <f>BILANCA!B68</f>
        <v>Financijska imovina (šifre 11+12+13+14+15+16+17+19)</v>
      </c>
      <c r="C21" s="312"/>
      <c r="D21" s="312"/>
      <c r="E21" s="312"/>
      <c r="F21" s="313"/>
      <c r="G21" s="79" t="str">
        <f>BILANCA!C68</f>
        <v>1</v>
      </c>
      <c r="H21" s="176">
        <f>BILANCA!D68</f>
        <v>599970.67000000016</v>
      </c>
      <c r="I21" s="177">
        <f>BILANCA!E68</f>
        <v>512459.76</v>
      </c>
      <c r="J21" s="7"/>
      <c r="K21" s="7"/>
      <c r="L21" s="7"/>
      <c r="M21" s="7"/>
      <c r="N21" s="7"/>
      <c r="O21" s="7"/>
      <c r="P21" s="7"/>
      <c r="Q21" s="7"/>
      <c r="R21" s="7"/>
      <c r="S21" s="7"/>
      <c r="T21" s="7"/>
      <c r="U21" s="7"/>
      <c r="V21" s="7"/>
      <c r="W21" s="7"/>
      <c r="X21" s="7"/>
    </row>
    <row r="22" spans="1:24" ht="12.75" customHeight="1" x14ac:dyDescent="0.2">
      <c r="A22" s="303"/>
      <c r="B22" s="311" t="str">
        <f>BILANCA!B176</f>
        <v xml:space="preserve">Obveze (šifre 23+24+25+26+29) </v>
      </c>
      <c r="C22" s="312"/>
      <c r="D22" s="312"/>
      <c r="E22" s="312"/>
      <c r="F22" s="313"/>
      <c r="G22" s="79" t="str">
        <f>BILANCA!C176</f>
        <v>2</v>
      </c>
      <c r="H22" s="176">
        <f>BILANCA!D176</f>
        <v>14059.82</v>
      </c>
      <c r="I22" s="177">
        <f>BILANCA!E176</f>
        <v>407423.4</v>
      </c>
      <c r="J22" s="7"/>
      <c r="K22" s="7"/>
      <c r="L22" s="7"/>
      <c r="M22" s="7"/>
      <c r="N22" s="7"/>
      <c r="O22" s="7"/>
      <c r="P22" s="7"/>
      <c r="Q22" s="7"/>
      <c r="R22" s="7"/>
      <c r="S22" s="7"/>
      <c r="T22" s="7"/>
      <c r="U22" s="7"/>
      <c r="V22" s="7"/>
      <c r="W22" s="7"/>
      <c r="X22" s="7"/>
    </row>
    <row r="23" spans="1:24" ht="12.75" customHeight="1" x14ac:dyDescent="0.2">
      <c r="A23" s="304"/>
      <c r="B23" s="314" t="str">
        <f>BILANCA!B237</f>
        <v>Vlastiti izvori (šifre 91 + 922 - 93 + 96 do 98)</v>
      </c>
      <c r="C23" s="315"/>
      <c r="D23" s="315"/>
      <c r="E23" s="315"/>
      <c r="F23" s="316"/>
      <c r="G23" s="80" t="str">
        <f>BILANCA!C237</f>
        <v>9</v>
      </c>
      <c r="H23" s="178">
        <f>BILANCA!D237</f>
        <v>3344670.1</v>
      </c>
      <c r="I23" s="179">
        <f>BILANCA!E237</f>
        <v>3573788.51</v>
      </c>
      <c r="J23" s="7"/>
      <c r="K23" s="7"/>
      <c r="L23" s="7"/>
      <c r="M23" s="7"/>
      <c r="N23" s="7"/>
      <c r="O23" s="7"/>
      <c r="P23" s="7"/>
      <c r="Q23" s="7"/>
      <c r="R23" s="7"/>
      <c r="S23" s="7"/>
      <c r="T23" s="7"/>
      <c r="U23" s="7"/>
      <c r="V23" s="7"/>
      <c r="W23" s="7"/>
      <c r="X23" s="7"/>
    </row>
    <row r="24" spans="1:24" ht="12.75" customHeight="1" x14ac:dyDescent="0.2">
      <c r="A24" s="302" t="s">
        <v>45</v>
      </c>
      <c r="B24" s="308" t="str">
        <f>'RAS-funkcijski'!B5</f>
        <v>Opće javne usluge (šifre 011+012+013+014 do 018)</v>
      </c>
      <c r="C24" s="309"/>
      <c r="D24" s="309"/>
      <c r="E24" s="309"/>
      <c r="F24" s="310"/>
      <c r="G24" s="78" t="str">
        <f>'RAS-funkcijski'!C5</f>
        <v>01</v>
      </c>
      <c r="H24" s="174">
        <f>'RAS-funkcijski'!D5</f>
        <v>140197.5</v>
      </c>
      <c r="I24" s="175">
        <f>'RAS-funkcijski'!E5</f>
        <v>187074.02000000002</v>
      </c>
      <c r="J24" s="7"/>
      <c r="K24" s="7"/>
      <c r="L24" s="7"/>
      <c r="M24" s="7"/>
      <c r="N24" s="7"/>
      <c r="O24" s="7"/>
      <c r="P24" s="7"/>
      <c r="Q24" s="7"/>
      <c r="R24" s="7"/>
      <c r="S24" s="7"/>
      <c r="T24" s="7"/>
      <c r="U24" s="7"/>
      <c r="V24" s="7"/>
      <c r="W24" s="7"/>
      <c r="X24" s="7"/>
    </row>
    <row r="25" spans="1:24" ht="12.75" customHeight="1" x14ac:dyDescent="0.2">
      <c r="A25" s="303"/>
      <c r="B25" s="311" t="str">
        <f>'RAS-funkcijski'!B35</f>
        <v>Ekonomski poslovi (šifre 041+042+043+044+045+046+047+048+049)</v>
      </c>
      <c r="C25" s="312"/>
      <c r="D25" s="312"/>
      <c r="E25" s="312"/>
      <c r="F25" s="313"/>
      <c r="G25" s="79" t="str">
        <f>'RAS-funkcijski'!C35</f>
        <v>04</v>
      </c>
      <c r="H25" s="176">
        <f>'RAS-funkcijski'!D35</f>
        <v>182963.44</v>
      </c>
      <c r="I25" s="177">
        <f>'RAS-funkcijski'!E35</f>
        <v>281972.12</v>
      </c>
      <c r="J25" s="7"/>
      <c r="K25" s="7"/>
      <c r="L25" s="7"/>
      <c r="M25" s="7"/>
      <c r="N25" s="7"/>
      <c r="O25" s="7"/>
      <c r="P25" s="7"/>
      <c r="Q25" s="7"/>
      <c r="R25" s="7"/>
      <c r="S25" s="7"/>
      <c r="T25" s="7"/>
      <c r="U25" s="7"/>
      <c r="V25" s="7"/>
      <c r="W25" s="7"/>
      <c r="X25" s="7"/>
    </row>
    <row r="26" spans="1:24" ht="12.75" customHeight="1" x14ac:dyDescent="0.2">
      <c r="A26" s="303"/>
      <c r="B26" s="311" t="str">
        <f>'RAS-funkcijski'!B88</f>
        <v>Rashodi vezani za stanovanje i kom. pogodnosti koji nisu drugdje svrstani</v>
      </c>
      <c r="C26" s="312"/>
      <c r="D26" s="312"/>
      <c r="E26" s="312"/>
      <c r="F26" s="313"/>
      <c r="G26" s="79" t="str">
        <f>'RAS-funkcijski'!C88</f>
        <v>066</v>
      </c>
      <c r="H26" s="176">
        <f>'RAS-funkcijski'!D88</f>
        <v>48687.67</v>
      </c>
      <c r="I26" s="177">
        <f>'RAS-funkcijski'!E88</f>
        <v>64704</v>
      </c>
      <c r="J26" s="7"/>
      <c r="K26" s="7"/>
      <c r="L26" s="7"/>
      <c r="M26" s="7"/>
      <c r="N26" s="7"/>
      <c r="O26" s="7"/>
      <c r="P26" s="7"/>
      <c r="Q26" s="7"/>
      <c r="R26" s="7"/>
      <c r="S26" s="7"/>
      <c r="T26" s="7"/>
      <c r="U26" s="7"/>
      <c r="V26" s="7"/>
      <c r="W26" s="7"/>
      <c r="X26" s="7"/>
    </row>
    <row r="27" spans="1:24" ht="12.75" customHeight="1" x14ac:dyDescent="0.2">
      <c r="A27" s="303"/>
      <c r="B27" s="311" t="str">
        <f>'RAS-funkcijski'!B114</f>
        <v>Obrazovanje (šifre 091+092+093+094+095+096+097+098)</v>
      </c>
      <c r="C27" s="312"/>
      <c r="D27" s="312"/>
      <c r="E27" s="312"/>
      <c r="F27" s="313"/>
      <c r="G27" s="79" t="str">
        <f>'RAS-funkcijski'!C114</f>
        <v>09</v>
      </c>
      <c r="H27" s="176">
        <f>'RAS-funkcijski'!D114</f>
        <v>113325.95000000001</v>
      </c>
      <c r="I27" s="177">
        <f>'RAS-funkcijski'!E114</f>
        <v>540390.7699999999</v>
      </c>
      <c r="J27" s="7"/>
      <c r="K27" s="7"/>
      <c r="L27" s="7"/>
      <c r="M27" s="7"/>
      <c r="N27" s="7"/>
      <c r="O27" s="7"/>
      <c r="P27" s="7"/>
      <c r="Q27" s="7"/>
      <c r="R27" s="7"/>
      <c r="S27" s="7"/>
      <c r="T27" s="7"/>
      <c r="U27" s="7"/>
      <c r="V27" s="7"/>
      <c r="W27" s="7"/>
      <c r="X27" s="7"/>
    </row>
    <row r="28" spans="1:24" ht="12.75" customHeight="1" x14ac:dyDescent="0.2">
      <c r="A28" s="304"/>
      <c r="B28" s="314" t="str">
        <f>'RAS-funkcijski'!B141</f>
        <v>Kontrolni zbroj (šifre 01+02+03+04+05+06+07+08+09+10)</v>
      </c>
      <c r="C28" s="315"/>
      <c r="D28" s="315"/>
      <c r="E28" s="315"/>
      <c r="F28" s="316"/>
      <c r="G28" s="80" t="str">
        <f>'RAS-funkcijski'!C141</f>
        <v>R1</v>
      </c>
      <c r="H28" s="180">
        <f>'RAS-funkcijski'!D141</f>
        <v>611226.49000000011</v>
      </c>
      <c r="I28" s="181">
        <f>'RAS-funkcijski'!E141</f>
        <v>1330386.51</v>
      </c>
      <c r="J28" s="7"/>
      <c r="K28" s="7"/>
      <c r="L28" s="7"/>
      <c r="M28" s="7"/>
      <c r="N28" s="7"/>
      <c r="O28" s="7"/>
      <c r="P28" s="7"/>
      <c r="Q28" s="7"/>
      <c r="R28" s="7"/>
      <c r="S28" s="7"/>
      <c r="T28" s="7"/>
      <c r="U28" s="7"/>
      <c r="V28" s="7"/>
      <c r="W28" s="7"/>
      <c r="X28" s="7"/>
    </row>
    <row r="29" spans="1:24" ht="12.75" customHeight="1" x14ac:dyDescent="0.2">
      <c r="A29" s="302" t="s">
        <v>36</v>
      </c>
      <c r="B29" s="318" t="str">
        <f>'P-VRIO'!B5</f>
        <v>Promjene u vrijednosti i obujmu imovine (šifre 91511+91512)</v>
      </c>
      <c r="C29" s="309"/>
      <c r="D29" s="309"/>
      <c r="E29" s="309"/>
      <c r="F29" s="310"/>
      <c r="G29" s="78" t="str">
        <f>'P-VRIO'!C5</f>
        <v>9151</v>
      </c>
      <c r="H29" s="174">
        <f>'P-VRIO'!D5</f>
        <v>71806.94</v>
      </c>
      <c r="I29" s="175">
        <f>'P-VRIO'!E5</f>
        <v>0</v>
      </c>
      <c r="J29" s="7"/>
      <c r="K29" s="7"/>
      <c r="L29" s="7"/>
      <c r="M29" s="7"/>
      <c r="N29" s="7"/>
      <c r="O29" s="7"/>
      <c r="P29" s="7"/>
      <c r="Q29" s="7"/>
      <c r="R29" s="7"/>
      <c r="S29" s="7"/>
      <c r="T29" s="7"/>
      <c r="U29" s="7"/>
      <c r="V29" s="7"/>
      <c r="W29" s="7"/>
      <c r="X29" s="7"/>
    </row>
    <row r="30" spans="1:24" ht="12.75" customHeight="1" x14ac:dyDescent="0.2">
      <c r="A30" s="303"/>
      <c r="B30" s="319" t="str">
        <f>'P-VRIO'!B22</f>
        <v>Promjene u obujmu imovine (šifre P016+P023)</v>
      </c>
      <c r="C30" s="312"/>
      <c r="D30" s="312"/>
      <c r="E30" s="312"/>
      <c r="F30" s="313"/>
      <c r="G30" s="79" t="str">
        <f>'P-VRIO'!C22</f>
        <v>91512</v>
      </c>
      <c r="H30" s="176">
        <f>'P-VRIO'!D22</f>
        <v>4911.32</v>
      </c>
      <c r="I30" s="177">
        <f>'P-VRIO'!E22</f>
        <v>0</v>
      </c>
      <c r="J30" s="7"/>
      <c r="K30" s="7"/>
      <c r="L30" s="7"/>
      <c r="M30" s="7"/>
      <c r="N30" s="7"/>
      <c r="O30" s="7"/>
      <c r="P30" s="7"/>
      <c r="Q30" s="7"/>
      <c r="R30" s="7"/>
      <c r="S30" s="7"/>
      <c r="T30" s="7"/>
      <c r="U30" s="7"/>
      <c r="V30" s="7"/>
      <c r="W30" s="7"/>
      <c r="X30" s="7"/>
    </row>
    <row r="31" spans="1:24" ht="12.75" customHeight="1" x14ac:dyDescent="0.2">
      <c r="A31" s="303"/>
      <c r="B31" s="319" t="str">
        <f>'P-VRIO'!B38</f>
        <v>Promjene u vrijednosti (revalorizacija) i obujmu obveza (šifre 91521+91522)</v>
      </c>
      <c r="C31" s="312"/>
      <c r="D31" s="312"/>
      <c r="E31" s="312"/>
      <c r="F31" s="313"/>
      <c r="G31" s="79" t="str">
        <f>'P-VRIO'!C38</f>
        <v>9152</v>
      </c>
      <c r="H31" s="176">
        <f>'P-VRIO'!D38</f>
        <v>0</v>
      </c>
      <c r="I31" s="177">
        <f>'P-VRIO'!E38</f>
        <v>0</v>
      </c>
      <c r="J31" s="7"/>
      <c r="K31" s="7"/>
      <c r="L31" s="7"/>
      <c r="M31" s="7"/>
      <c r="N31" s="7"/>
      <c r="O31" s="7"/>
      <c r="P31" s="7"/>
      <c r="Q31" s="7"/>
      <c r="R31" s="7"/>
      <c r="S31" s="7"/>
      <c r="T31" s="7"/>
      <c r="U31" s="7"/>
      <c r="V31" s="7"/>
      <c r="W31" s="7"/>
      <c r="X31" s="7"/>
    </row>
    <row r="32" spans="1:24" ht="12.75" customHeight="1" x14ac:dyDescent="0.2">
      <c r="A32" s="304"/>
      <c r="B32" s="320" t="str">
        <f>'P-VRIO'!B44</f>
        <v>Promjene u obujmu obveza (šifre P035 do P038)</v>
      </c>
      <c r="C32" s="315"/>
      <c r="D32" s="315"/>
      <c r="E32" s="315"/>
      <c r="F32" s="316"/>
      <c r="G32" s="80" t="str">
        <f>'P-VRIO'!C44</f>
        <v>91522</v>
      </c>
      <c r="H32" s="180">
        <f>'P-VRIO'!D44</f>
        <v>0</v>
      </c>
      <c r="I32" s="181">
        <f>'P-VRIO'!E44</f>
        <v>0</v>
      </c>
      <c r="J32" s="7"/>
      <c r="K32" s="7"/>
      <c r="L32" s="7"/>
      <c r="M32" s="7"/>
      <c r="N32" s="7"/>
      <c r="O32" s="7"/>
      <c r="P32" s="7"/>
      <c r="Q32" s="7"/>
      <c r="R32" s="7"/>
      <c r="S32" s="7"/>
      <c r="T32" s="7"/>
      <c r="U32" s="7"/>
      <c r="V32" s="7"/>
      <c r="W32" s="7"/>
      <c r="X32" s="7"/>
    </row>
    <row r="33" spans="1:24" ht="12.75" customHeight="1" x14ac:dyDescent="0.2">
      <c r="A33" s="302" t="s">
        <v>37</v>
      </c>
      <c r="B33" s="308" t="str">
        <f>OBVEZE!B5</f>
        <v>Stanje obveza 1. siječnja (=stanju obveza iz Izvještaja o obvezama na 31. prosinca prethodne godine)</v>
      </c>
      <c r="C33" s="309"/>
      <c r="D33" s="309"/>
      <c r="E33" s="309"/>
      <c r="F33" s="310"/>
      <c r="G33" s="78" t="str">
        <f>OBVEZE!C5</f>
        <v>V001</v>
      </c>
      <c r="H33" s="182" t="s">
        <v>46</v>
      </c>
      <c r="I33" s="183">
        <f>OBVEZE!D5</f>
        <v>14059.82</v>
      </c>
      <c r="J33" s="7"/>
      <c r="K33" s="7"/>
      <c r="L33" s="7"/>
      <c r="M33" s="7"/>
      <c r="N33" s="7"/>
      <c r="O33" s="7"/>
      <c r="P33" s="7"/>
      <c r="Q33" s="7"/>
      <c r="R33" s="7"/>
      <c r="S33" s="7"/>
      <c r="T33" s="7"/>
      <c r="U33" s="7"/>
      <c r="V33" s="7"/>
      <c r="W33" s="7"/>
      <c r="X33" s="7"/>
    </row>
    <row r="34" spans="1:24" ht="12.75" customHeight="1" x14ac:dyDescent="0.2">
      <c r="A34" s="303"/>
      <c r="B34" s="311" t="str">
        <f>OBVEZE!B42</f>
        <v>Stanje obveza na kraju izvještajnog razdoblja (šifre V001+V002-V004) i (šifre V007+V009)</v>
      </c>
      <c r="C34" s="312"/>
      <c r="D34" s="312"/>
      <c r="E34" s="312"/>
      <c r="F34" s="313"/>
      <c r="G34" s="79" t="str">
        <f>OBVEZE!C42</f>
        <v>V006</v>
      </c>
      <c r="H34" s="176" t="s">
        <v>46</v>
      </c>
      <c r="I34" s="177">
        <f>OBVEZE!D42</f>
        <v>407423.39999999991</v>
      </c>
      <c r="J34" s="7"/>
      <c r="K34" s="7"/>
      <c r="L34" s="7"/>
      <c r="M34" s="7"/>
      <c r="N34" s="7"/>
      <c r="O34" s="7"/>
      <c r="P34" s="7"/>
      <c r="Q34" s="7"/>
      <c r="R34" s="7"/>
      <c r="S34" s="7"/>
      <c r="T34" s="7"/>
      <c r="U34" s="7"/>
      <c r="V34" s="7"/>
      <c r="W34" s="7"/>
      <c r="X34" s="7"/>
    </row>
    <row r="35" spans="1:24" ht="12.75" customHeight="1" x14ac:dyDescent="0.2">
      <c r="A35" s="303"/>
      <c r="B35" s="311" t="str">
        <f>OBVEZE!B43</f>
        <v>Stanje dospjelih obveza na kraju izvještajnog razdoblja (šifre V008+D23+D24 + 'D dio 25,26')</v>
      </c>
      <c r="C35" s="312"/>
      <c r="D35" s="312"/>
      <c r="E35" s="312"/>
      <c r="F35" s="313"/>
      <c r="G35" s="79" t="str">
        <f>OBVEZE!C43</f>
        <v>V007</v>
      </c>
      <c r="H35" s="176" t="s">
        <v>46</v>
      </c>
      <c r="I35" s="177">
        <f>OBVEZE!D43</f>
        <v>0</v>
      </c>
      <c r="J35" s="7"/>
      <c r="K35" s="7"/>
      <c r="L35" s="7"/>
      <c r="M35" s="7"/>
      <c r="N35" s="7"/>
      <c r="O35" s="7"/>
      <c r="P35" s="7"/>
      <c r="Q35" s="7"/>
      <c r="R35" s="7"/>
      <c r="S35" s="7"/>
      <c r="T35" s="7"/>
      <c r="U35" s="7"/>
      <c r="V35" s="7"/>
      <c r="W35" s="7"/>
      <c r="X35" s="7"/>
    </row>
    <row r="36" spans="1:24" ht="12.75" customHeight="1" x14ac:dyDescent="0.2">
      <c r="A36" s="304"/>
      <c r="B36" s="314" t="str">
        <f>OBVEZE!B101</f>
        <v>Stanje nedospjelih obveza na kraju izvještajnog razdoblja (šifre V010 + ND23 + ND24 + 'ND dio 25,26')</v>
      </c>
      <c r="C36" s="315"/>
      <c r="D36" s="315"/>
      <c r="E36" s="315"/>
      <c r="F36" s="316"/>
      <c r="G36" s="80" t="str">
        <f>OBVEZE!C101</f>
        <v>V009</v>
      </c>
      <c r="H36" s="180" t="s">
        <v>46</v>
      </c>
      <c r="I36" s="181">
        <f>OBVEZE!D101</f>
        <v>407423.4</v>
      </c>
      <c r="J36" s="7"/>
      <c r="K36" s="7"/>
      <c r="L36" s="7"/>
      <c r="M36" s="7"/>
      <c r="N36" s="7"/>
      <c r="O36" s="7"/>
      <c r="P36" s="7"/>
      <c r="Q36" s="7"/>
      <c r="R36" s="7"/>
      <c r="S36" s="7"/>
      <c r="T36" s="7"/>
      <c r="U36" s="7"/>
      <c r="V36" s="7"/>
      <c r="W36" s="7"/>
      <c r="X36" s="7"/>
    </row>
    <row r="37" spans="1:24" ht="14.25" customHeight="1" x14ac:dyDescent="0.2">
      <c r="A37" s="184"/>
      <c r="B37" s="185"/>
      <c r="C37" s="185"/>
      <c r="D37" s="185"/>
      <c r="E37" s="185"/>
      <c r="F37" s="185"/>
      <c r="G37" s="185"/>
      <c r="H37" s="186"/>
      <c r="I37" s="186"/>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317" t="s">
        <v>47</v>
      </c>
      <c r="I39" s="31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87"/>
      <c r="I40" s="188"/>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7" zoomScaleNormal="100" workbookViewId="0">
      <selection activeCell="E652" sqref="E652 E652"/>
    </sheetView>
  </sheetViews>
  <sheetFormatPr defaultColWidth="14.42578125" defaultRowHeight="15" customHeight="1" x14ac:dyDescent="0.2"/>
  <cols>
    <col min="1" max="1" width="13.28515625" style="93" customWidth="1"/>
    <col min="2" max="2" width="60.7109375" style="123" customWidth="1"/>
    <col min="3" max="3" width="12.7109375" style="93"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55" t="s">
        <v>48</v>
      </c>
      <c r="B1" s="157" t="s">
        <v>49</v>
      </c>
      <c r="C1" s="155" t="s">
        <v>34</v>
      </c>
      <c r="D1" s="158" t="s">
        <v>35</v>
      </c>
      <c r="E1" s="156" t="s">
        <v>50</v>
      </c>
      <c r="F1" s="159" t="s">
        <v>39</v>
      </c>
    </row>
    <row r="2" spans="1:25" s="118" customFormat="1" ht="50.1" customHeight="1" x14ac:dyDescent="0.2">
      <c r="A2" s="325" t="s">
        <v>51</v>
      </c>
      <c r="B2" s="326"/>
      <c r="C2" s="326"/>
      <c r="D2" s="326"/>
      <c r="E2" s="326"/>
      <c r="F2" s="326"/>
    </row>
    <row r="3" spans="1:25" s="118" customFormat="1" ht="48" customHeight="1" x14ac:dyDescent="0.2">
      <c r="A3" s="151" t="s">
        <v>52</v>
      </c>
      <c r="B3" s="152" t="s">
        <v>41</v>
      </c>
      <c r="C3" s="140" t="s">
        <v>42</v>
      </c>
      <c r="D3" s="152" t="s">
        <v>53</v>
      </c>
      <c r="E3" s="152" t="s">
        <v>54</v>
      </c>
      <c r="F3" s="141" t="s">
        <v>55</v>
      </c>
    </row>
    <row r="4" spans="1:25" s="118" customFormat="1" ht="12" customHeight="1" x14ac:dyDescent="0.2">
      <c r="A4" s="81">
        <v>1</v>
      </c>
      <c r="B4" s="82">
        <v>2</v>
      </c>
      <c r="C4" s="83" t="s">
        <v>56</v>
      </c>
      <c r="D4" s="84">
        <v>4</v>
      </c>
      <c r="E4" s="84">
        <v>5</v>
      </c>
      <c r="F4" s="85">
        <v>6</v>
      </c>
      <c r="G4" s="191"/>
      <c r="H4" s="191"/>
      <c r="I4" s="191"/>
      <c r="J4" s="191"/>
      <c r="K4" s="191"/>
      <c r="L4" s="191"/>
      <c r="M4" s="191"/>
      <c r="N4" s="191"/>
      <c r="O4" s="191"/>
      <c r="P4" s="191"/>
      <c r="Q4" s="191"/>
      <c r="R4" s="191"/>
      <c r="S4" s="191"/>
      <c r="T4" s="191"/>
      <c r="U4" s="191"/>
      <c r="V4" s="191"/>
      <c r="W4" s="191"/>
      <c r="X4" s="191"/>
      <c r="Y4" s="191"/>
    </row>
    <row r="5" spans="1:25" customFormat="1" ht="20.100000000000001" customHeight="1" x14ac:dyDescent="0.2">
      <c r="A5" s="327" t="s">
        <v>57</v>
      </c>
      <c r="B5" s="328"/>
      <c r="C5" s="192"/>
      <c r="D5" s="193"/>
      <c r="E5" s="193"/>
      <c r="F5" s="194"/>
    </row>
    <row r="6" spans="1:25" customFormat="1" ht="12.75" customHeight="1" x14ac:dyDescent="0.2">
      <c r="A6" s="189" t="s">
        <v>58</v>
      </c>
      <c r="B6" s="150" t="s">
        <v>59</v>
      </c>
      <c r="C6" s="44" t="s">
        <v>58</v>
      </c>
      <c r="D6" s="262">
        <f>D7+D44+D50+D82+D106+D124+D133+D139</f>
        <v>817409.36</v>
      </c>
      <c r="E6" s="262">
        <f>E7+E44+E50+E82+E106+E124+E133+E139</f>
        <v>849516.2</v>
      </c>
      <c r="F6" s="190">
        <f t="shared" ref="F6:F69" si="0">IF(D6&lt;&gt;0,IF(E6/D6&gt;=100,"&gt;&gt;100",E6/D6*100),"-")</f>
        <v>103.92787770377379</v>
      </c>
    </row>
    <row r="7" spans="1:25" customFormat="1" ht="12.75" customHeight="1" x14ac:dyDescent="0.2">
      <c r="A7" s="189" t="s">
        <v>60</v>
      </c>
      <c r="B7" s="150" t="s">
        <v>61</v>
      </c>
      <c r="C7" s="44" t="s">
        <v>60</v>
      </c>
      <c r="D7" s="262">
        <f>D8+D17+D23+D29+D37+D40</f>
        <v>261718.22</v>
      </c>
      <c r="E7" s="262">
        <f>E8+E17+E23+E29+E37+E40</f>
        <v>326937.48</v>
      </c>
      <c r="F7" s="190">
        <f t="shared" si="0"/>
        <v>124.91964831489378</v>
      </c>
    </row>
    <row r="8" spans="1:25" customFormat="1" ht="12.75" customHeight="1" x14ac:dyDescent="0.2">
      <c r="A8" s="189" t="s">
        <v>62</v>
      </c>
      <c r="B8" s="150" t="s">
        <v>63</v>
      </c>
      <c r="C8" s="44" t="s">
        <v>62</v>
      </c>
      <c r="D8" s="262">
        <f>SUM(D9:D14)-D15-D16</f>
        <v>244621.44</v>
      </c>
      <c r="E8" s="262">
        <f>SUM(E9:E14)-E15-E16</f>
        <v>317278.27999999997</v>
      </c>
      <c r="F8" s="190">
        <f t="shared" si="0"/>
        <v>129.70174650267776</v>
      </c>
    </row>
    <row r="9" spans="1:25" customFormat="1" ht="12.75" customHeight="1" x14ac:dyDescent="0.2">
      <c r="A9" s="189" t="s">
        <v>64</v>
      </c>
      <c r="B9" s="150" t="s">
        <v>65</v>
      </c>
      <c r="C9" s="44" t="s">
        <v>64</v>
      </c>
      <c r="D9" s="263">
        <v>271483.05</v>
      </c>
      <c r="E9" s="263">
        <v>309246.63</v>
      </c>
      <c r="F9" s="190">
        <f t="shared" si="0"/>
        <v>113.91010599004248</v>
      </c>
    </row>
    <row r="10" spans="1:25" customFormat="1" ht="12.75" customHeight="1" x14ac:dyDescent="0.2">
      <c r="A10" s="189" t="s">
        <v>66</v>
      </c>
      <c r="B10" s="150" t="s">
        <v>67</v>
      </c>
      <c r="C10" s="44" t="s">
        <v>66</v>
      </c>
      <c r="D10" s="263">
        <v>0</v>
      </c>
      <c r="E10" s="263">
        <v>27878.16</v>
      </c>
      <c r="F10" s="190" t="str">
        <f t="shared" si="0"/>
        <v>-</v>
      </c>
    </row>
    <row r="11" spans="1:25" customFormat="1" ht="12.75" customHeight="1" x14ac:dyDescent="0.2">
      <c r="A11" s="189" t="s">
        <v>68</v>
      </c>
      <c r="B11" s="150" t="s">
        <v>69</v>
      </c>
      <c r="C11" s="44" t="s">
        <v>68</v>
      </c>
      <c r="D11" s="263">
        <v>0</v>
      </c>
      <c r="E11" s="263">
        <v>7260.55</v>
      </c>
      <c r="F11" s="190" t="str">
        <f t="shared" si="0"/>
        <v>-</v>
      </c>
    </row>
    <row r="12" spans="1:25" customFormat="1" ht="12.75" customHeight="1" x14ac:dyDescent="0.2">
      <c r="A12" s="189" t="s">
        <v>70</v>
      </c>
      <c r="B12" s="150" t="s">
        <v>71</v>
      </c>
      <c r="C12" s="44" t="s">
        <v>70</v>
      </c>
      <c r="D12" s="263">
        <v>0</v>
      </c>
      <c r="E12" s="263">
        <v>17157.7</v>
      </c>
      <c r="F12" s="190" t="str">
        <f t="shared" si="0"/>
        <v>-</v>
      </c>
    </row>
    <row r="13" spans="1:25" customFormat="1" ht="12.75" customHeight="1" x14ac:dyDescent="0.2">
      <c r="A13" s="189" t="s">
        <v>72</v>
      </c>
      <c r="B13" s="150" t="s">
        <v>73</v>
      </c>
      <c r="C13" s="44" t="s">
        <v>72</v>
      </c>
      <c r="D13" s="263">
        <v>0</v>
      </c>
      <c r="E13" s="263">
        <v>0</v>
      </c>
      <c r="F13" s="190" t="str">
        <f t="shared" si="0"/>
        <v>-</v>
      </c>
    </row>
    <row r="14" spans="1:25" customFormat="1" ht="12.75" customHeight="1" x14ac:dyDescent="0.2">
      <c r="A14" s="189" t="s">
        <v>74</v>
      </c>
      <c r="B14" s="150" t="s">
        <v>75</v>
      </c>
      <c r="C14" s="44" t="s">
        <v>74</v>
      </c>
      <c r="D14" s="263">
        <v>0</v>
      </c>
      <c r="E14" s="263">
        <v>0</v>
      </c>
      <c r="F14" s="190" t="str">
        <f t="shared" si="0"/>
        <v>-</v>
      </c>
    </row>
    <row r="15" spans="1:25" customFormat="1" ht="12.75" customHeight="1" x14ac:dyDescent="0.2">
      <c r="A15" s="189" t="s">
        <v>76</v>
      </c>
      <c r="B15" s="150" t="s">
        <v>77</v>
      </c>
      <c r="C15" s="44" t="s">
        <v>76</v>
      </c>
      <c r="D15" s="263">
        <v>26861.61</v>
      </c>
      <c r="E15" s="263">
        <v>44264.76</v>
      </c>
      <c r="F15" s="190">
        <f t="shared" si="0"/>
        <v>164.78818656067153</v>
      </c>
    </row>
    <row r="16" spans="1:25" customFormat="1" ht="12.75" customHeight="1" x14ac:dyDescent="0.2">
      <c r="A16" s="189" t="s">
        <v>78</v>
      </c>
      <c r="B16" s="150" t="s">
        <v>79</v>
      </c>
      <c r="C16" s="44" t="s">
        <v>78</v>
      </c>
      <c r="D16" s="263">
        <v>0</v>
      </c>
      <c r="E16" s="263">
        <v>0</v>
      </c>
      <c r="F16" s="190" t="str">
        <f t="shared" si="0"/>
        <v>-</v>
      </c>
    </row>
    <row r="17" spans="1:6" customFormat="1" ht="12.75" customHeight="1" x14ac:dyDescent="0.2">
      <c r="A17" s="189" t="s">
        <v>80</v>
      </c>
      <c r="B17" s="150" t="s">
        <v>81</v>
      </c>
      <c r="C17" s="44" t="s">
        <v>80</v>
      </c>
      <c r="D17" s="262">
        <f>SUM(D18:D21)-D22</f>
        <v>0</v>
      </c>
      <c r="E17" s="262">
        <f>SUM(E18:E21)-E22</f>
        <v>0</v>
      </c>
      <c r="F17" s="190" t="str">
        <f t="shared" si="0"/>
        <v>-</v>
      </c>
    </row>
    <row r="18" spans="1:6" customFormat="1" ht="12.75" customHeight="1" x14ac:dyDescent="0.2">
      <c r="A18" s="189" t="s">
        <v>82</v>
      </c>
      <c r="B18" s="150" t="s">
        <v>83</v>
      </c>
      <c r="C18" s="44" t="s">
        <v>82</v>
      </c>
      <c r="D18" s="263">
        <v>0</v>
      </c>
      <c r="E18" s="263">
        <v>0</v>
      </c>
      <c r="F18" s="190" t="str">
        <f t="shared" si="0"/>
        <v>-</v>
      </c>
    </row>
    <row r="19" spans="1:6" customFormat="1" ht="12.75" customHeight="1" x14ac:dyDescent="0.2">
      <c r="A19" s="189" t="s">
        <v>84</v>
      </c>
      <c r="B19" s="150" t="s">
        <v>85</v>
      </c>
      <c r="C19" s="44" t="s">
        <v>84</v>
      </c>
      <c r="D19" s="263">
        <v>0</v>
      </c>
      <c r="E19" s="263">
        <v>0</v>
      </c>
      <c r="F19" s="190" t="str">
        <f t="shared" si="0"/>
        <v>-</v>
      </c>
    </row>
    <row r="20" spans="1:6" customFormat="1" ht="12.75" customHeight="1" x14ac:dyDescent="0.2">
      <c r="A20" s="189" t="s">
        <v>86</v>
      </c>
      <c r="B20" s="195" t="s">
        <v>87</v>
      </c>
      <c r="C20" s="44" t="s">
        <v>86</v>
      </c>
      <c r="D20" s="263">
        <v>0</v>
      </c>
      <c r="E20" s="263">
        <v>0</v>
      </c>
      <c r="F20" s="190" t="str">
        <f t="shared" si="0"/>
        <v>-</v>
      </c>
    </row>
    <row r="21" spans="1:6" customFormat="1" ht="12.75" customHeight="1" x14ac:dyDescent="0.2">
      <c r="A21" s="189" t="s">
        <v>88</v>
      </c>
      <c r="B21" s="150" t="s">
        <v>89</v>
      </c>
      <c r="C21" s="44" t="s">
        <v>88</v>
      </c>
      <c r="D21" s="263">
        <v>0</v>
      </c>
      <c r="E21" s="263">
        <v>0</v>
      </c>
      <c r="F21" s="190" t="str">
        <f t="shared" si="0"/>
        <v>-</v>
      </c>
    </row>
    <row r="22" spans="1:6" customFormat="1" ht="12.75" customHeight="1" x14ac:dyDescent="0.2">
      <c r="A22" s="189" t="s">
        <v>90</v>
      </c>
      <c r="B22" s="150" t="s">
        <v>91</v>
      </c>
      <c r="C22" s="44" t="s">
        <v>90</v>
      </c>
      <c r="D22" s="263">
        <v>0</v>
      </c>
      <c r="E22" s="263">
        <v>0</v>
      </c>
      <c r="F22" s="190" t="str">
        <f t="shared" si="0"/>
        <v>-</v>
      </c>
    </row>
    <row r="23" spans="1:6" customFormat="1" ht="12.75" customHeight="1" x14ac:dyDescent="0.2">
      <c r="A23" s="189" t="s">
        <v>92</v>
      </c>
      <c r="B23" s="150" t="s">
        <v>93</v>
      </c>
      <c r="C23" s="44" t="s">
        <v>92</v>
      </c>
      <c r="D23" s="262">
        <f>SUM(D24:D28)</f>
        <v>16522.18</v>
      </c>
      <c r="E23" s="262">
        <f>SUM(E24:E28)</f>
        <v>9180.2999999999993</v>
      </c>
      <c r="F23" s="190">
        <f t="shared" si="0"/>
        <v>55.563491016318665</v>
      </c>
    </row>
    <row r="24" spans="1:6" customFormat="1" ht="12.75" customHeight="1" x14ac:dyDescent="0.2">
      <c r="A24" s="189" t="s">
        <v>94</v>
      </c>
      <c r="B24" s="150" t="s">
        <v>95</v>
      </c>
      <c r="C24" s="44" t="s">
        <v>94</v>
      </c>
      <c r="D24" s="263">
        <v>1440.98</v>
      </c>
      <c r="E24" s="263">
        <v>1334.3</v>
      </c>
      <c r="F24" s="190">
        <f t="shared" si="0"/>
        <v>92.596705020194577</v>
      </c>
    </row>
    <row r="25" spans="1:6" customFormat="1" ht="12.75" customHeight="1" x14ac:dyDescent="0.2">
      <c r="A25" s="189" t="s">
        <v>96</v>
      </c>
      <c r="B25" s="150" t="s">
        <v>97</v>
      </c>
      <c r="C25" s="44" t="s">
        <v>96</v>
      </c>
      <c r="D25" s="263">
        <v>0</v>
      </c>
      <c r="E25" s="263">
        <v>0</v>
      </c>
      <c r="F25" s="190" t="str">
        <f t="shared" si="0"/>
        <v>-</v>
      </c>
    </row>
    <row r="26" spans="1:6" customFormat="1" ht="12.75" customHeight="1" x14ac:dyDescent="0.2">
      <c r="A26" s="189" t="s">
        <v>98</v>
      </c>
      <c r="B26" s="150" t="s">
        <v>99</v>
      </c>
      <c r="C26" s="44" t="s">
        <v>98</v>
      </c>
      <c r="D26" s="263">
        <v>0</v>
      </c>
      <c r="E26" s="263">
        <v>0</v>
      </c>
      <c r="F26" s="190" t="str">
        <f t="shared" si="0"/>
        <v>-</v>
      </c>
    </row>
    <row r="27" spans="1:6" customFormat="1" ht="12.75" customHeight="1" x14ac:dyDescent="0.2">
      <c r="A27" s="189" t="s">
        <v>100</v>
      </c>
      <c r="B27" s="150" t="s">
        <v>101</v>
      </c>
      <c r="C27" s="44" t="s">
        <v>100</v>
      </c>
      <c r="D27" s="263">
        <v>15081.2</v>
      </c>
      <c r="E27" s="263">
        <v>7846</v>
      </c>
      <c r="F27" s="190">
        <f t="shared" si="0"/>
        <v>52.025037795400898</v>
      </c>
    </row>
    <row r="28" spans="1:6" customFormat="1" ht="12.75" customHeight="1" x14ac:dyDescent="0.2">
      <c r="A28" s="189" t="s">
        <v>102</v>
      </c>
      <c r="B28" s="150" t="s">
        <v>103</v>
      </c>
      <c r="C28" s="44" t="s">
        <v>102</v>
      </c>
      <c r="D28" s="263">
        <v>0</v>
      </c>
      <c r="E28" s="263">
        <v>0</v>
      </c>
      <c r="F28" s="190" t="str">
        <f t="shared" si="0"/>
        <v>-</v>
      </c>
    </row>
    <row r="29" spans="1:6" customFormat="1" ht="12.75" customHeight="1" x14ac:dyDescent="0.2">
      <c r="A29" s="189" t="s">
        <v>104</v>
      </c>
      <c r="B29" s="150" t="s">
        <v>105</v>
      </c>
      <c r="C29" s="44" t="s">
        <v>104</v>
      </c>
      <c r="D29" s="262">
        <f>SUM(D30:D36)</f>
        <v>574.6</v>
      </c>
      <c r="E29" s="262">
        <f>SUM(E30:E36)</f>
        <v>478.9</v>
      </c>
      <c r="F29" s="190">
        <f t="shared" si="0"/>
        <v>83.344935607379028</v>
      </c>
    </row>
    <row r="30" spans="1:6" customFormat="1" ht="12.75" customHeight="1" x14ac:dyDescent="0.2">
      <c r="A30" s="189" t="s">
        <v>106</v>
      </c>
      <c r="B30" s="150" t="s">
        <v>107</v>
      </c>
      <c r="C30" s="44" t="s">
        <v>106</v>
      </c>
      <c r="D30" s="263">
        <v>0</v>
      </c>
      <c r="E30" s="263">
        <v>0</v>
      </c>
      <c r="F30" s="190" t="str">
        <f t="shared" si="0"/>
        <v>-</v>
      </c>
    </row>
    <row r="31" spans="1:6" customFormat="1" ht="12.75" customHeight="1" x14ac:dyDescent="0.2">
      <c r="A31" s="189" t="s">
        <v>108</v>
      </c>
      <c r="B31" s="150" t="s">
        <v>109</v>
      </c>
      <c r="C31" s="44" t="s">
        <v>108</v>
      </c>
      <c r="D31" s="263">
        <v>574.6</v>
      </c>
      <c r="E31" s="263">
        <v>478.9</v>
      </c>
      <c r="F31" s="190">
        <f t="shared" si="0"/>
        <v>83.344935607379028</v>
      </c>
    </row>
    <row r="32" spans="1:6" customFormat="1" ht="12.75" customHeight="1" x14ac:dyDescent="0.2">
      <c r="A32" s="189" t="s">
        <v>110</v>
      </c>
      <c r="B32" s="150" t="s">
        <v>111</v>
      </c>
      <c r="C32" s="44" t="s">
        <v>110</v>
      </c>
      <c r="D32" s="263">
        <v>0</v>
      </c>
      <c r="E32" s="263">
        <v>0</v>
      </c>
      <c r="F32" s="190" t="str">
        <f t="shared" si="0"/>
        <v>-</v>
      </c>
    </row>
    <row r="33" spans="1:6" customFormat="1" ht="12.75" customHeight="1" x14ac:dyDescent="0.2">
      <c r="A33" s="189" t="s">
        <v>112</v>
      </c>
      <c r="B33" s="150" t="s">
        <v>113</v>
      </c>
      <c r="C33" s="44" t="s">
        <v>112</v>
      </c>
      <c r="D33" s="263">
        <v>0</v>
      </c>
      <c r="E33" s="263">
        <v>0</v>
      </c>
      <c r="F33" s="190" t="str">
        <f t="shared" si="0"/>
        <v>-</v>
      </c>
    </row>
    <row r="34" spans="1:6" customFormat="1" ht="12.75" customHeight="1" x14ac:dyDescent="0.2">
      <c r="A34" s="189" t="s">
        <v>114</v>
      </c>
      <c r="B34" s="150" t="s">
        <v>115</v>
      </c>
      <c r="C34" s="44" t="s">
        <v>114</v>
      </c>
      <c r="D34" s="263">
        <v>0</v>
      </c>
      <c r="E34" s="263">
        <v>0</v>
      </c>
      <c r="F34" s="190" t="str">
        <f t="shared" si="0"/>
        <v>-</v>
      </c>
    </row>
    <row r="35" spans="1:6" customFormat="1" ht="12.75" customHeight="1" x14ac:dyDescent="0.2">
      <c r="A35" s="189" t="s">
        <v>116</v>
      </c>
      <c r="B35" s="150" t="s">
        <v>117</v>
      </c>
      <c r="C35" s="44" t="s">
        <v>116</v>
      </c>
      <c r="D35" s="263">
        <v>0</v>
      </c>
      <c r="E35" s="263">
        <v>0</v>
      </c>
      <c r="F35" s="190" t="str">
        <f t="shared" si="0"/>
        <v>-</v>
      </c>
    </row>
    <row r="36" spans="1:6" customFormat="1" ht="12.75" customHeight="1" x14ac:dyDescent="0.2">
      <c r="A36" s="189" t="s">
        <v>118</v>
      </c>
      <c r="B36" s="150" t="s">
        <v>119</v>
      </c>
      <c r="C36" s="44" t="s">
        <v>118</v>
      </c>
      <c r="D36" s="263">
        <v>0</v>
      </c>
      <c r="E36" s="263">
        <v>0</v>
      </c>
      <c r="F36" s="190" t="str">
        <f t="shared" si="0"/>
        <v>-</v>
      </c>
    </row>
    <row r="37" spans="1:6" customFormat="1" ht="12.75" customHeight="1" x14ac:dyDescent="0.2">
      <c r="A37" s="189" t="s">
        <v>120</v>
      </c>
      <c r="B37" s="150" t="s">
        <v>121</v>
      </c>
      <c r="C37" s="44" t="s">
        <v>120</v>
      </c>
      <c r="D37" s="262">
        <f>SUM(D38:D39)</f>
        <v>0</v>
      </c>
      <c r="E37" s="262">
        <f>SUM(E38:E39)</f>
        <v>0</v>
      </c>
      <c r="F37" s="190" t="str">
        <f t="shared" si="0"/>
        <v>-</v>
      </c>
    </row>
    <row r="38" spans="1:6" customFormat="1" ht="12.75" customHeight="1" x14ac:dyDescent="0.2">
      <c r="A38" s="189" t="s">
        <v>122</v>
      </c>
      <c r="B38" s="150" t="s">
        <v>123</v>
      </c>
      <c r="C38" s="44" t="s">
        <v>122</v>
      </c>
      <c r="D38" s="263">
        <v>0</v>
      </c>
      <c r="E38" s="263">
        <v>0</v>
      </c>
      <c r="F38" s="190" t="str">
        <f t="shared" si="0"/>
        <v>-</v>
      </c>
    </row>
    <row r="39" spans="1:6" customFormat="1" ht="12.75" customHeight="1" x14ac:dyDescent="0.2">
      <c r="A39" s="189" t="s">
        <v>124</v>
      </c>
      <c r="B39" s="150" t="s">
        <v>125</v>
      </c>
      <c r="C39" s="44" t="s">
        <v>124</v>
      </c>
      <c r="D39" s="263">
        <v>0</v>
      </c>
      <c r="E39" s="263">
        <v>0</v>
      </c>
      <c r="F39" s="190" t="str">
        <f t="shared" si="0"/>
        <v>-</v>
      </c>
    </row>
    <row r="40" spans="1:6" customFormat="1" ht="12.75" customHeight="1" x14ac:dyDescent="0.2">
      <c r="A40" s="189" t="s">
        <v>126</v>
      </c>
      <c r="B40" s="150" t="s">
        <v>127</v>
      </c>
      <c r="C40" s="44" t="s">
        <v>126</v>
      </c>
      <c r="D40" s="262">
        <f>SUM(D41:D43)</f>
        <v>0</v>
      </c>
      <c r="E40" s="262">
        <f>SUM(E41:E43)</f>
        <v>0</v>
      </c>
      <c r="F40" s="190" t="str">
        <f t="shared" si="0"/>
        <v>-</v>
      </c>
    </row>
    <row r="41" spans="1:6" customFormat="1" ht="12.75" customHeight="1" x14ac:dyDescent="0.2">
      <c r="A41" s="189" t="s">
        <v>128</v>
      </c>
      <c r="B41" s="150" t="s">
        <v>129</v>
      </c>
      <c r="C41" s="44" t="s">
        <v>128</v>
      </c>
      <c r="D41" s="263">
        <v>0</v>
      </c>
      <c r="E41" s="263">
        <v>0</v>
      </c>
      <c r="F41" s="190" t="str">
        <f t="shared" si="0"/>
        <v>-</v>
      </c>
    </row>
    <row r="42" spans="1:6" customFormat="1" ht="12.75" customHeight="1" x14ac:dyDescent="0.2">
      <c r="A42" s="189" t="s">
        <v>130</v>
      </c>
      <c r="B42" s="150" t="s">
        <v>131</v>
      </c>
      <c r="C42" s="44" t="s">
        <v>130</v>
      </c>
      <c r="D42" s="263">
        <v>0</v>
      </c>
      <c r="E42" s="263">
        <v>0</v>
      </c>
      <c r="F42" s="190" t="str">
        <f t="shared" si="0"/>
        <v>-</v>
      </c>
    </row>
    <row r="43" spans="1:6" customFormat="1" ht="12.75" customHeight="1" x14ac:dyDescent="0.2">
      <c r="A43" s="189" t="s">
        <v>132</v>
      </c>
      <c r="B43" s="150" t="s">
        <v>133</v>
      </c>
      <c r="C43" s="44" t="s">
        <v>132</v>
      </c>
      <c r="D43" s="263">
        <v>0</v>
      </c>
      <c r="E43" s="263">
        <v>0</v>
      </c>
      <c r="F43" s="190" t="str">
        <f t="shared" si="0"/>
        <v>-</v>
      </c>
    </row>
    <row r="44" spans="1:6" customFormat="1" ht="12.75" customHeight="1" x14ac:dyDescent="0.2">
      <c r="A44" s="189" t="s">
        <v>134</v>
      </c>
      <c r="B44" s="150" t="s">
        <v>135</v>
      </c>
      <c r="C44" s="44" t="s">
        <v>134</v>
      </c>
      <c r="D44" s="262">
        <f>D45+D48+D49</f>
        <v>0</v>
      </c>
      <c r="E44" s="262">
        <f>E45+E48+E49</f>
        <v>0</v>
      </c>
      <c r="F44" s="190" t="str">
        <f t="shared" si="0"/>
        <v>-</v>
      </c>
    </row>
    <row r="45" spans="1:6" customFormat="1" ht="12.75" customHeight="1" x14ac:dyDescent="0.2">
      <c r="A45" s="189" t="s">
        <v>136</v>
      </c>
      <c r="B45" s="150" t="s">
        <v>137</v>
      </c>
      <c r="C45" s="44" t="s">
        <v>136</v>
      </c>
      <c r="D45" s="262">
        <f>SUM(D46:D47)</f>
        <v>0</v>
      </c>
      <c r="E45" s="262">
        <f>SUM(E46:E47)</f>
        <v>0</v>
      </c>
      <c r="F45" s="190" t="str">
        <f t="shared" si="0"/>
        <v>-</v>
      </c>
    </row>
    <row r="46" spans="1:6" customFormat="1" ht="12.75" customHeight="1" x14ac:dyDescent="0.2">
      <c r="A46" s="189" t="s">
        <v>138</v>
      </c>
      <c r="B46" s="150" t="s">
        <v>139</v>
      </c>
      <c r="C46" s="44" t="s">
        <v>138</v>
      </c>
      <c r="D46" s="263">
        <v>0</v>
      </c>
      <c r="E46" s="263">
        <v>0</v>
      </c>
      <c r="F46" s="190" t="str">
        <f t="shared" si="0"/>
        <v>-</v>
      </c>
    </row>
    <row r="47" spans="1:6" customFormat="1" ht="12.75" customHeight="1" x14ac:dyDescent="0.2">
      <c r="A47" s="189" t="s">
        <v>140</v>
      </c>
      <c r="B47" s="150" t="s">
        <v>141</v>
      </c>
      <c r="C47" s="44" t="s">
        <v>140</v>
      </c>
      <c r="D47" s="263">
        <v>0</v>
      </c>
      <c r="E47" s="263">
        <v>0</v>
      </c>
      <c r="F47" s="190" t="str">
        <f t="shared" si="0"/>
        <v>-</v>
      </c>
    </row>
    <row r="48" spans="1:6" customFormat="1" ht="12.75" customHeight="1" x14ac:dyDescent="0.2">
      <c r="A48" s="189" t="s">
        <v>142</v>
      </c>
      <c r="B48" s="150" t="s">
        <v>143</v>
      </c>
      <c r="C48" s="44" t="s">
        <v>142</v>
      </c>
      <c r="D48" s="263">
        <v>0</v>
      </c>
      <c r="E48" s="263">
        <v>0</v>
      </c>
      <c r="F48" s="190" t="str">
        <f t="shared" si="0"/>
        <v>-</v>
      </c>
    </row>
    <row r="49" spans="1:6" customFormat="1" ht="12.75" customHeight="1" x14ac:dyDescent="0.2">
      <c r="A49" s="189" t="s">
        <v>144</v>
      </c>
      <c r="B49" s="150" t="s">
        <v>145</v>
      </c>
      <c r="C49" s="44" t="s">
        <v>144</v>
      </c>
      <c r="D49" s="263">
        <v>0</v>
      </c>
      <c r="E49" s="263">
        <v>0</v>
      </c>
      <c r="F49" s="190" t="str">
        <f t="shared" si="0"/>
        <v>-</v>
      </c>
    </row>
    <row r="50" spans="1:6" customFormat="1" ht="24" customHeight="1" x14ac:dyDescent="0.2">
      <c r="A50" s="189" t="s">
        <v>146</v>
      </c>
      <c r="B50" s="196" t="s">
        <v>147</v>
      </c>
      <c r="C50" s="44" t="s">
        <v>146</v>
      </c>
      <c r="D50" s="262">
        <f>D51+D54+D59+D62+D65+D68+D71+D74+D77</f>
        <v>521877.81</v>
      </c>
      <c r="E50" s="262">
        <f>E51+E54+E59+E62+E65+E68+E71+E74+E77</f>
        <v>492376.5</v>
      </c>
      <c r="F50" s="190">
        <f t="shared" si="0"/>
        <v>94.347084808990061</v>
      </c>
    </row>
    <row r="51" spans="1:6" customFormat="1" ht="12.75" customHeight="1" x14ac:dyDescent="0.2">
      <c r="A51" s="189" t="s">
        <v>148</v>
      </c>
      <c r="B51" s="196" t="s">
        <v>149</v>
      </c>
      <c r="C51" s="44" t="s">
        <v>148</v>
      </c>
      <c r="D51" s="262">
        <f>D52+D53</f>
        <v>0</v>
      </c>
      <c r="E51" s="262">
        <f>E52+E53</f>
        <v>0</v>
      </c>
      <c r="F51" s="190" t="str">
        <f t="shared" si="0"/>
        <v>-</v>
      </c>
    </row>
    <row r="52" spans="1:6" customFormat="1" ht="12.75" customHeight="1" x14ac:dyDescent="0.2">
      <c r="A52" s="189" t="s">
        <v>150</v>
      </c>
      <c r="B52" s="196" t="s">
        <v>151</v>
      </c>
      <c r="C52" s="44" t="s">
        <v>150</v>
      </c>
      <c r="D52" s="263">
        <v>0</v>
      </c>
      <c r="E52" s="263">
        <v>0</v>
      </c>
      <c r="F52" s="190" t="str">
        <f t="shared" si="0"/>
        <v>-</v>
      </c>
    </row>
    <row r="53" spans="1:6" customFormat="1" ht="12.75" customHeight="1" x14ac:dyDescent="0.2">
      <c r="A53" s="189" t="s">
        <v>152</v>
      </c>
      <c r="B53" s="196" t="s">
        <v>153</v>
      </c>
      <c r="C53" s="44" t="s">
        <v>152</v>
      </c>
      <c r="D53" s="263">
        <v>0</v>
      </c>
      <c r="E53" s="263">
        <v>0</v>
      </c>
      <c r="F53" s="190" t="str">
        <f t="shared" si="0"/>
        <v>-</v>
      </c>
    </row>
    <row r="54" spans="1:6" customFormat="1" ht="24" customHeight="1" x14ac:dyDescent="0.2">
      <c r="A54" s="189" t="s">
        <v>154</v>
      </c>
      <c r="B54" s="196" t="s">
        <v>155</v>
      </c>
      <c r="C54" s="44" t="s">
        <v>154</v>
      </c>
      <c r="D54" s="262">
        <f>SUM(D55:D58)</f>
        <v>0</v>
      </c>
      <c r="E54" s="262">
        <f>SUM(E55:E58)</f>
        <v>0</v>
      </c>
      <c r="F54" s="190" t="str">
        <f t="shared" si="0"/>
        <v>-</v>
      </c>
    </row>
    <row r="55" spans="1:6" customFormat="1" ht="12.75" customHeight="1" x14ac:dyDescent="0.2">
      <c r="A55" s="189" t="s">
        <v>156</v>
      </c>
      <c r="B55" s="196" t="s">
        <v>157</v>
      </c>
      <c r="C55" s="44" t="s">
        <v>156</v>
      </c>
      <c r="D55" s="263">
        <v>0</v>
      </c>
      <c r="E55" s="263">
        <v>0</v>
      </c>
      <c r="F55" s="190" t="str">
        <f t="shared" si="0"/>
        <v>-</v>
      </c>
    </row>
    <row r="56" spans="1:6" customFormat="1" ht="12.75" customHeight="1" x14ac:dyDescent="0.2">
      <c r="A56" s="189" t="s">
        <v>158</v>
      </c>
      <c r="B56" s="196" t="s">
        <v>159</v>
      </c>
      <c r="C56" s="44" t="s">
        <v>158</v>
      </c>
      <c r="D56" s="263">
        <v>0</v>
      </c>
      <c r="E56" s="263">
        <v>0</v>
      </c>
      <c r="F56" s="190" t="str">
        <f t="shared" si="0"/>
        <v>-</v>
      </c>
    </row>
    <row r="57" spans="1:6" customFormat="1" ht="12.75" customHeight="1" x14ac:dyDescent="0.2">
      <c r="A57" s="189" t="s">
        <v>160</v>
      </c>
      <c r="B57" s="196" t="s">
        <v>161</v>
      </c>
      <c r="C57" s="44" t="s">
        <v>160</v>
      </c>
      <c r="D57" s="263">
        <v>0</v>
      </c>
      <c r="E57" s="263">
        <v>0</v>
      </c>
      <c r="F57" s="190" t="str">
        <f t="shared" si="0"/>
        <v>-</v>
      </c>
    </row>
    <row r="58" spans="1:6" customFormat="1" ht="12.75" customHeight="1" x14ac:dyDescent="0.2">
      <c r="A58" s="189" t="s">
        <v>162</v>
      </c>
      <c r="B58" s="196" t="s">
        <v>163</v>
      </c>
      <c r="C58" s="44" t="s">
        <v>162</v>
      </c>
      <c r="D58" s="263">
        <v>0</v>
      </c>
      <c r="E58" s="263">
        <v>0</v>
      </c>
      <c r="F58" s="190" t="str">
        <f t="shared" si="0"/>
        <v>-</v>
      </c>
    </row>
    <row r="59" spans="1:6" customFormat="1" ht="24" customHeight="1" x14ac:dyDescent="0.2">
      <c r="A59" s="189" t="s">
        <v>164</v>
      </c>
      <c r="B59" s="196" t="s">
        <v>165</v>
      </c>
      <c r="C59" s="44" t="s">
        <v>164</v>
      </c>
      <c r="D59" s="262">
        <f>SUM(D60:D61)</f>
        <v>392052</v>
      </c>
      <c r="E59" s="262">
        <f>SUM(E60:E61)</f>
        <v>492376.5</v>
      </c>
      <c r="F59" s="190">
        <f t="shared" si="0"/>
        <v>125.58959015640782</v>
      </c>
    </row>
    <row r="60" spans="1:6" customFormat="1" ht="24" customHeight="1" x14ac:dyDescent="0.2">
      <c r="A60" s="189" t="s">
        <v>166</v>
      </c>
      <c r="B60" s="196" t="s">
        <v>167</v>
      </c>
      <c r="C60" s="44" t="s">
        <v>166</v>
      </c>
      <c r="D60" s="263">
        <v>238991</v>
      </c>
      <c r="E60" s="263">
        <v>249009.56</v>
      </c>
      <c r="F60" s="190">
        <f t="shared" si="0"/>
        <v>104.19202396742972</v>
      </c>
    </row>
    <row r="61" spans="1:6" customFormat="1" ht="24" customHeight="1" x14ac:dyDescent="0.2">
      <c r="A61" s="189" t="s">
        <v>168</v>
      </c>
      <c r="B61" s="196" t="s">
        <v>169</v>
      </c>
      <c r="C61" s="44" t="s">
        <v>168</v>
      </c>
      <c r="D61" s="263">
        <v>153061</v>
      </c>
      <c r="E61" s="263">
        <v>243366.94</v>
      </c>
      <c r="F61" s="190">
        <f t="shared" si="0"/>
        <v>158.99996733328544</v>
      </c>
    </row>
    <row r="62" spans="1:6" customFormat="1" ht="12.75" customHeight="1" x14ac:dyDescent="0.2">
      <c r="A62" s="189" t="s">
        <v>170</v>
      </c>
      <c r="B62" s="150" t="s">
        <v>171</v>
      </c>
      <c r="C62" s="44" t="s">
        <v>170</v>
      </c>
      <c r="D62" s="262">
        <f>SUM(D63:D64)</f>
        <v>0</v>
      </c>
      <c r="E62" s="262">
        <f>SUM(E63:E64)</f>
        <v>0</v>
      </c>
      <c r="F62" s="190" t="str">
        <f t="shared" si="0"/>
        <v>-</v>
      </c>
    </row>
    <row r="63" spans="1:6" customFormat="1" ht="12.75" customHeight="1" x14ac:dyDescent="0.2">
      <c r="A63" s="189" t="s">
        <v>172</v>
      </c>
      <c r="B63" s="150" t="s">
        <v>173</v>
      </c>
      <c r="C63" s="44" t="s">
        <v>172</v>
      </c>
      <c r="D63" s="263">
        <v>0</v>
      </c>
      <c r="E63" s="263">
        <v>0</v>
      </c>
      <c r="F63" s="190" t="str">
        <f t="shared" si="0"/>
        <v>-</v>
      </c>
    </row>
    <row r="64" spans="1:6" customFormat="1" ht="12.75" customHeight="1" x14ac:dyDescent="0.2">
      <c r="A64" s="189" t="s">
        <v>174</v>
      </c>
      <c r="B64" s="150" t="s">
        <v>175</v>
      </c>
      <c r="C64" s="44" t="s">
        <v>174</v>
      </c>
      <c r="D64" s="263">
        <v>0</v>
      </c>
      <c r="E64" s="263">
        <v>0</v>
      </c>
      <c r="F64" s="190" t="str">
        <f t="shared" si="0"/>
        <v>-</v>
      </c>
    </row>
    <row r="65" spans="1:6" customFormat="1" ht="12.75" customHeight="1" x14ac:dyDescent="0.2">
      <c r="A65" s="189" t="s">
        <v>176</v>
      </c>
      <c r="B65" s="150" t="s">
        <v>177</v>
      </c>
      <c r="C65" s="44" t="s">
        <v>176</v>
      </c>
      <c r="D65" s="262">
        <f>SUM(D66:D67)</f>
        <v>0</v>
      </c>
      <c r="E65" s="262">
        <f>SUM(E66:E67)</f>
        <v>0</v>
      </c>
      <c r="F65" s="190" t="str">
        <f t="shared" si="0"/>
        <v>-</v>
      </c>
    </row>
    <row r="66" spans="1:6" customFormat="1" ht="12.75" customHeight="1" x14ac:dyDescent="0.2">
      <c r="A66" s="189" t="s">
        <v>178</v>
      </c>
      <c r="B66" s="150" t="s">
        <v>179</v>
      </c>
      <c r="C66" s="44" t="s">
        <v>178</v>
      </c>
      <c r="D66" s="263">
        <v>0</v>
      </c>
      <c r="E66" s="263">
        <v>0</v>
      </c>
      <c r="F66" s="190" t="str">
        <f t="shared" si="0"/>
        <v>-</v>
      </c>
    </row>
    <row r="67" spans="1:6" customFormat="1" ht="12.75" customHeight="1" x14ac:dyDescent="0.2">
      <c r="A67" s="189" t="s">
        <v>180</v>
      </c>
      <c r="B67" s="150" t="s">
        <v>181</v>
      </c>
      <c r="C67" s="44" t="s">
        <v>180</v>
      </c>
      <c r="D67" s="263">
        <v>0</v>
      </c>
      <c r="E67" s="263">
        <v>0</v>
      </c>
      <c r="F67" s="190" t="str">
        <f t="shared" si="0"/>
        <v>-</v>
      </c>
    </row>
    <row r="68" spans="1:6" customFormat="1" ht="24" customHeight="1" x14ac:dyDescent="0.2">
      <c r="A68" s="189" t="s">
        <v>182</v>
      </c>
      <c r="B68" s="195" t="s">
        <v>183</v>
      </c>
      <c r="C68" s="44" t="s">
        <v>182</v>
      </c>
      <c r="D68" s="262">
        <f>SUM(D69:D70)</f>
        <v>0</v>
      </c>
      <c r="E68" s="262">
        <f>SUM(E69:E70)</f>
        <v>0</v>
      </c>
      <c r="F68" s="190" t="str">
        <f t="shared" si="0"/>
        <v>-</v>
      </c>
    </row>
    <row r="69" spans="1:6" customFormat="1" ht="12.75" customHeight="1" x14ac:dyDescent="0.2">
      <c r="A69" s="189" t="s">
        <v>184</v>
      </c>
      <c r="B69" s="150" t="s">
        <v>185</v>
      </c>
      <c r="C69" s="44" t="s">
        <v>184</v>
      </c>
      <c r="D69" s="263">
        <v>0</v>
      </c>
      <c r="E69" s="263">
        <v>0</v>
      </c>
      <c r="F69" s="190" t="str">
        <f t="shared" si="0"/>
        <v>-</v>
      </c>
    </row>
    <row r="70" spans="1:6" customFormat="1" ht="24" customHeight="1" x14ac:dyDescent="0.2">
      <c r="A70" s="189" t="s">
        <v>186</v>
      </c>
      <c r="B70" s="150" t="s">
        <v>187</v>
      </c>
      <c r="C70" s="44" t="s">
        <v>186</v>
      </c>
      <c r="D70" s="263">
        <v>0</v>
      </c>
      <c r="E70" s="263">
        <v>0</v>
      </c>
      <c r="F70" s="190" t="str">
        <f t="shared" ref="F70:F133" si="1">IF(D70&lt;&gt;0,IF(E70/D70&gt;=100,"&gt;&gt;100",E70/D70*100),"-")</f>
        <v>-</v>
      </c>
    </row>
    <row r="71" spans="1:6" customFormat="1" ht="24" customHeight="1" x14ac:dyDescent="0.2">
      <c r="A71" s="189" t="s">
        <v>188</v>
      </c>
      <c r="B71" s="150" t="s">
        <v>189</v>
      </c>
      <c r="C71" s="44" t="s">
        <v>188</v>
      </c>
      <c r="D71" s="262">
        <f>SUM(D72:D73)</f>
        <v>0</v>
      </c>
      <c r="E71" s="262">
        <f>SUM(E72:E73)</f>
        <v>0</v>
      </c>
      <c r="F71" s="190" t="str">
        <f t="shared" si="1"/>
        <v>-</v>
      </c>
    </row>
    <row r="72" spans="1:6" customFormat="1" ht="12.75" customHeight="1" x14ac:dyDescent="0.2">
      <c r="A72" s="189" t="s">
        <v>190</v>
      </c>
      <c r="B72" s="150" t="s">
        <v>191</v>
      </c>
      <c r="C72" s="44" t="s">
        <v>190</v>
      </c>
      <c r="D72" s="263">
        <v>0</v>
      </c>
      <c r="E72" s="263">
        <v>0</v>
      </c>
      <c r="F72" s="190" t="str">
        <f t="shared" si="1"/>
        <v>-</v>
      </c>
    </row>
    <row r="73" spans="1:6" customFormat="1" ht="12.75" customHeight="1" x14ac:dyDescent="0.2">
      <c r="A73" s="189" t="s">
        <v>192</v>
      </c>
      <c r="B73" s="150" t="s">
        <v>193</v>
      </c>
      <c r="C73" s="44" t="s">
        <v>192</v>
      </c>
      <c r="D73" s="263">
        <v>0</v>
      </c>
      <c r="E73" s="263">
        <v>0</v>
      </c>
      <c r="F73" s="190" t="str">
        <f t="shared" si="1"/>
        <v>-</v>
      </c>
    </row>
    <row r="74" spans="1:6" customFormat="1" ht="12.75" customHeight="1" x14ac:dyDescent="0.2">
      <c r="A74" s="189" t="s">
        <v>194</v>
      </c>
      <c r="B74" s="150" t="s">
        <v>195</v>
      </c>
      <c r="C74" s="44" t="s">
        <v>194</v>
      </c>
      <c r="D74" s="262">
        <f>SUM(D75:D76)</f>
        <v>129825.81</v>
      </c>
      <c r="E74" s="262">
        <f>SUM(E75:E76)</f>
        <v>0</v>
      </c>
      <c r="F74" s="190">
        <f t="shared" si="1"/>
        <v>0</v>
      </c>
    </row>
    <row r="75" spans="1:6" customFormat="1" ht="12.75" customHeight="1" x14ac:dyDescent="0.2">
      <c r="A75" s="189" t="s">
        <v>196</v>
      </c>
      <c r="B75" s="150" t="s">
        <v>197</v>
      </c>
      <c r="C75" s="44" t="s">
        <v>196</v>
      </c>
      <c r="D75" s="263">
        <v>0</v>
      </c>
      <c r="E75" s="263">
        <v>0</v>
      </c>
      <c r="F75" s="190" t="str">
        <f t="shared" si="1"/>
        <v>-</v>
      </c>
    </row>
    <row r="76" spans="1:6" customFormat="1" ht="12.75" customHeight="1" x14ac:dyDescent="0.2">
      <c r="A76" s="189" t="s">
        <v>198</v>
      </c>
      <c r="B76" s="150" t="s">
        <v>199</v>
      </c>
      <c r="C76" s="44" t="s">
        <v>198</v>
      </c>
      <c r="D76" s="263">
        <v>129825.81</v>
      </c>
      <c r="E76" s="263">
        <v>0</v>
      </c>
      <c r="F76" s="190">
        <f t="shared" si="1"/>
        <v>0</v>
      </c>
    </row>
    <row r="77" spans="1:6" customFormat="1" ht="24" customHeight="1" x14ac:dyDescent="0.2">
      <c r="A77" s="189" t="s">
        <v>200</v>
      </c>
      <c r="B77" s="150" t="s">
        <v>201</v>
      </c>
      <c r="C77" s="44" t="s">
        <v>200</v>
      </c>
      <c r="D77" s="262">
        <f>SUM(D78:D81)</f>
        <v>0</v>
      </c>
      <c r="E77" s="262">
        <f>SUM(E78:E81)</f>
        <v>0</v>
      </c>
      <c r="F77" s="190" t="str">
        <f t="shared" si="1"/>
        <v>-</v>
      </c>
    </row>
    <row r="78" spans="1:6" customFormat="1" ht="12.75" customHeight="1" x14ac:dyDescent="0.2">
      <c r="A78" s="189" t="s">
        <v>202</v>
      </c>
      <c r="B78" s="150" t="s">
        <v>203</v>
      </c>
      <c r="C78" s="44" t="s">
        <v>202</v>
      </c>
      <c r="D78" s="263">
        <v>0</v>
      </c>
      <c r="E78" s="263">
        <v>0</v>
      </c>
      <c r="F78" s="190" t="str">
        <f t="shared" si="1"/>
        <v>-</v>
      </c>
    </row>
    <row r="79" spans="1:6" customFormat="1" ht="12.75" customHeight="1" x14ac:dyDescent="0.2">
      <c r="A79" s="189" t="s">
        <v>204</v>
      </c>
      <c r="B79" s="150" t="s">
        <v>205</v>
      </c>
      <c r="C79" s="44" t="s">
        <v>204</v>
      </c>
      <c r="D79" s="263">
        <v>0</v>
      </c>
      <c r="E79" s="263">
        <v>0</v>
      </c>
      <c r="F79" s="190" t="str">
        <f t="shared" si="1"/>
        <v>-</v>
      </c>
    </row>
    <row r="80" spans="1:6" customFormat="1" ht="24" customHeight="1" x14ac:dyDescent="0.2">
      <c r="A80" s="189" t="s">
        <v>206</v>
      </c>
      <c r="B80" s="150" t="s">
        <v>207</v>
      </c>
      <c r="C80" s="44" t="s">
        <v>206</v>
      </c>
      <c r="D80" s="263">
        <v>0</v>
      </c>
      <c r="E80" s="263">
        <v>0</v>
      </c>
      <c r="F80" s="190" t="str">
        <f t="shared" si="1"/>
        <v>-</v>
      </c>
    </row>
    <row r="81" spans="1:6" customFormat="1" ht="24" customHeight="1" x14ac:dyDescent="0.2">
      <c r="A81" s="189" t="s">
        <v>208</v>
      </c>
      <c r="B81" s="150" t="s">
        <v>209</v>
      </c>
      <c r="C81" s="44" t="s">
        <v>208</v>
      </c>
      <c r="D81" s="263">
        <v>0</v>
      </c>
      <c r="E81" s="263">
        <v>0</v>
      </c>
      <c r="F81" s="190" t="str">
        <f t="shared" si="1"/>
        <v>-</v>
      </c>
    </row>
    <row r="82" spans="1:6" customFormat="1" ht="12.75" customHeight="1" x14ac:dyDescent="0.2">
      <c r="A82" s="189" t="s">
        <v>210</v>
      </c>
      <c r="B82" s="150" t="s">
        <v>211</v>
      </c>
      <c r="C82" s="44" t="s">
        <v>210</v>
      </c>
      <c r="D82" s="262">
        <f>D83+D91+D98</f>
        <v>5821.2199999999993</v>
      </c>
      <c r="E82" s="262">
        <f>E83+E91+E98</f>
        <v>5971.9000000000005</v>
      </c>
      <c r="F82" s="190">
        <f t="shared" si="1"/>
        <v>102.58846083810613</v>
      </c>
    </row>
    <row r="83" spans="1:6" customFormat="1" ht="12.75" customHeight="1" x14ac:dyDescent="0.2">
      <c r="A83" s="189" t="s">
        <v>212</v>
      </c>
      <c r="B83" s="150" t="s">
        <v>213</v>
      </c>
      <c r="C83" s="44" t="s">
        <v>212</v>
      </c>
      <c r="D83" s="262">
        <f>SUM(D84:D90)</f>
        <v>4.54</v>
      </c>
      <c r="E83" s="262">
        <f>SUM(E84:E90)</f>
        <v>5.37</v>
      </c>
      <c r="F83" s="190">
        <f t="shared" si="1"/>
        <v>118.28193832599119</v>
      </c>
    </row>
    <row r="84" spans="1:6" customFormat="1" ht="12.75" customHeight="1" x14ac:dyDescent="0.2">
      <c r="A84" s="189" t="s">
        <v>214</v>
      </c>
      <c r="B84" s="150" t="s">
        <v>215</v>
      </c>
      <c r="C84" s="44" t="s">
        <v>214</v>
      </c>
      <c r="D84" s="263">
        <v>0</v>
      </c>
      <c r="E84" s="263">
        <v>0</v>
      </c>
      <c r="F84" s="190" t="str">
        <f t="shared" si="1"/>
        <v>-</v>
      </c>
    </row>
    <row r="85" spans="1:6" customFormat="1" ht="12.75" customHeight="1" x14ac:dyDescent="0.2">
      <c r="A85" s="189" t="s">
        <v>216</v>
      </c>
      <c r="B85" s="150" t="s">
        <v>217</v>
      </c>
      <c r="C85" s="44" t="s">
        <v>216</v>
      </c>
      <c r="D85" s="263">
        <v>4.54</v>
      </c>
      <c r="E85" s="263">
        <v>5.37</v>
      </c>
      <c r="F85" s="190">
        <f t="shared" si="1"/>
        <v>118.28193832599119</v>
      </c>
    </row>
    <row r="86" spans="1:6" customFormat="1" ht="12.75" customHeight="1" x14ac:dyDescent="0.2">
      <c r="A86" s="189" t="s">
        <v>218</v>
      </c>
      <c r="B86" s="150" t="s">
        <v>219</v>
      </c>
      <c r="C86" s="44" t="s">
        <v>218</v>
      </c>
      <c r="D86" s="263">
        <v>0</v>
      </c>
      <c r="E86" s="263">
        <v>0</v>
      </c>
      <c r="F86" s="190" t="str">
        <f t="shared" si="1"/>
        <v>-</v>
      </c>
    </row>
    <row r="87" spans="1:6" customFormat="1" ht="12.75" customHeight="1" x14ac:dyDescent="0.2">
      <c r="A87" s="189" t="s">
        <v>220</v>
      </c>
      <c r="B87" s="150" t="s">
        <v>221</v>
      </c>
      <c r="C87" s="44" t="s">
        <v>220</v>
      </c>
      <c r="D87" s="263">
        <v>0</v>
      </c>
      <c r="E87" s="263">
        <v>0</v>
      </c>
      <c r="F87" s="190" t="str">
        <f t="shared" si="1"/>
        <v>-</v>
      </c>
    </row>
    <row r="88" spans="1:6" customFormat="1" ht="12.75" customHeight="1" x14ac:dyDescent="0.2">
      <c r="A88" s="189" t="s">
        <v>222</v>
      </c>
      <c r="B88" s="150" t="s">
        <v>223</v>
      </c>
      <c r="C88" s="44" t="s">
        <v>222</v>
      </c>
      <c r="D88" s="263">
        <v>0</v>
      </c>
      <c r="E88" s="263">
        <v>0</v>
      </c>
      <c r="F88" s="190" t="str">
        <f t="shared" si="1"/>
        <v>-</v>
      </c>
    </row>
    <row r="89" spans="1:6" customFormat="1" ht="24" customHeight="1" x14ac:dyDescent="0.2">
      <c r="A89" s="189" t="s">
        <v>224</v>
      </c>
      <c r="B89" s="150" t="s">
        <v>225</v>
      </c>
      <c r="C89" s="44" t="s">
        <v>224</v>
      </c>
      <c r="D89" s="263">
        <v>0</v>
      </c>
      <c r="E89" s="263">
        <v>0</v>
      </c>
      <c r="F89" s="190" t="str">
        <f t="shared" si="1"/>
        <v>-</v>
      </c>
    </row>
    <row r="90" spans="1:6" customFormat="1" ht="12.75" customHeight="1" x14ac:dyDescent="0.2">
      <c r="A90" s="189" t="s">
        <v>226</v>
      </c>
      <c r="B90" s="150" t="s">
        <v>227</v>
      </c>
      <c r="C90" s="44" t="s">
        <v>226</v>
      </c>
      <c r="D90" s="263">
        <v>0</v>
      </c>
      <c r="E90" s="263">
        <v>0</v>
      </c>
      <c r="F90" s="190" t="str">
        <f t="shared" si="1"/>
        <v>-</v>
      </c>
    </row>
    <row r="91" spans="1:6" customFormat="1" ht="12.75" customHeight="1" x14ac:dyDescent="0.2">
      <c r="A91" s="189" t="s">
        <v>228</v>
      </c>
      <c r="B91" s="150" t="s">
        <v>229</v>
      </c>
      <c r="C91" s="44" t="s">
        <v>228</v>
      </c>
      <c r="D91" s="262">
        <f>SUM(D92:D97)</f>
        <v>5816.6799999999994</v>
      </c>
      <c r="E91" s="262">
        <f>SUM(E92:E97)</f>
        <v>5966.5300000000007</v>
      </c>
      <c r="F91" s="190">
        <f t="shared" si="1"/>
        <v>102.57621185968631</v>
      </c>
    </row>
    <row r="92" spans="1:6" customFormat="1" ht="12.75" customHeight="1" x14ac:dyDescent="0.2">
      <c r="A92" s="189" t="s">
        <v>230</v>
      </c>
      <c r="B92" s="150" t="s">
        <v>231</v>
      </c>
      <c r="C92" s="44" t="s">
        <v>230</v>
      </c>
      <c r="D92" s="263">
        <v>2986.43</v>
      </c>
      <c r="E92" s="263">
        <v>5805.76</v>
      </c>
      <c r="F92" s="190">
        <f t="shared" si="1"/>
        <v>194.40469055025568</v>
      </c>
    </row>
    <row r="93" spans="1:6" customFormat="1" ht="12.75" customHeight="1" x14ac:dyDescent="0.2">
      <c r="A93" s="189" t="s">
        <v>232</v>
      </c>
      <c r="B93" s="150" t="s">
        <v>233</v>
      </c>
      <c r="C93" s="44" t="s">
        <v>232</v>
      </c>
      <c r="D93" s="263">
        <v>2829.52</v>
      </c>
      <c r="E93" s="263">
        <v>159.16999999999999</v>
      </c>
      <c r="F93" s="190">
        <f t="shared" si="1"/>
        <v>5.6253357459922526</v>
      </c>
    </row>
    <row r="94" spans="1:6" customFormat="1" ht="12.75" customHeight="1" x14ac:dyDescent="0.2">
      <c r="A94" s="189" t="s">
        <v>234</v>
      </c>
      <c r="B94" s="150" t="s">
        <v>235</v>
      </c>
      <c r="C94" s="44" t="s">
        <v>234</v>
      </c>
      <c r="D94" s="263">
        <v>0.73</v>
      </c>
      <c r="E94" s="263">
        <v>1.6</v>
      </c>
      <c r="F94" s="190">
        <f t="shared" si="1"/>
        <v>219.17808219178085</v>
      </c>
    </row>
    <row r="95" spans="1:6" customFormat="1" ht="12.75" customHeight="1" x14ac:dyDescent="0.2">
      <c r="A95" s="189" t="s">
        <v>236</v>
      </c>
      <c r="B95" s="150" t="s">
        <v>237</v>
      </c>
      <c r="C95" s="44" t="s">
        <v>236</v>
      </c>
      <c r="D95" s="263">
        <v>0</v>
      </c>
      <c r="E95" s="263">
        <v>0</v>
      </c>
      <c r="F95" s="190" t="str">
        <f t="shared" si="1"/>
        <v>-</v>
      </c>
    </row>
    <row r="96" spans="1:6" customFormat="1" ht="12.75" customHeight="1" x14ac:dyDescent="0.2">
      <c r="A96" s="189" t="s">
        <v>238</v>
      </c>
      <c r="B96" s="150" t="s">
        <v>239</v>
      </c>
      <c r="C96" s="44" t="s">
        <v>238</v>
      </c>
      <c r="D96" s="263">
        <v>0</v>
      </c>
      <c r="E96" s="263">
        <v>0</v>
      </c>
      <c r="F96" s="190" t="str">
        <f t="shared" si="1"/>
        <v>-</v>
      </c>
    </row>
    <row r="97" spans="1:6" customFormat="1" ht="12.75" customHeight="1" x14ac:dyDescent="0.2">
      <c r="A97" s="189" t="s">
        <v>240</v>
      </c>
      <c r="B97" s="150" t="s">
        <v>241</v>
      </c>
      <c r="C97" s="44" t="s">
        <v>240</v>
      </c>
      <c r="D97" s="263">
        <v>0</v>
      </c>
      <c r="E97" s="263">
        <v>0</v>
      </c>
      <c r="F97" s="190" t="str">
        <f t="shared" si="1"/>
        <v>-</v>
      </c>
    </row>
    <row r="98" spans="1:6" customFormat="1" ht="12.75" customHeight="1" x14ac:dyDescent="0.2">
      <c r="A98" s="189" t="s">
        <v>242</v>
      </c>
      <c r="B98" s="150" t="s">
        <v>243</v>
      </c>
      <c r="C98" s="44" t="s">
        <v>242</v>
      </c>
      <c r="D98" s="262">
        <f>SUM(D99:D105)</f>
        <v>0</v>
      </c>
      <c r="E98" s="262">
        <f>SUM(E99:E105)</f>
        <v>0</v>
      </c>
      <c r="F98" s="190" t="str">
        <f t="shared" si="1"/>
        <v>-</v>
      </c>
    </row>
    <row r="99" spans="1:6" customFormat="1" ht="24" customHeight="1" x14ac:dyDescent="0.2">
      <c r="A99" s="189" t="s">
        <v>244</v>
      </c>
      <c r="B99" s="150" t="s">
        <v>245</v>
      </c>
      <c r="C99" s="44" t="s">
        <v>244</v>
      </c>
      <c r="D99" s="263">
        <v>0</v>
      </c>
      <c r="E99" s="263">
        <v>0</v>
      </c>
      <c r="F99" s="190" t="str">
        <f t="shared" si="1"/>
        <v>-</v>
      </c>
    </row>
    <row r="100" spans="1:6" customFormat="1" ht="24" customHeight="1" x14ac:dyDescent="0.2">
      <c r="A100" s="189" t="s">
        <v>246</v>
      </c>
      <c r="B100" s="195" t="s">
        <v>247</v>
      </c>
      <c r="C100" s="44" t="s">
        <v>246</v>
      </c>
      <c r="D100" s="263">
        <v>0</v>
      </c>
      <c r="E100" s="263">
        <v>0</v>
      </c>
      <c r="F100" s="190" t="str">
        <f t="shared" si="1"/>
        <v>-</v>
      </c>
    </row>
    <row r="101" spans="1:6" customFormat="1" ht="24" customHeight="1" x14ac:dyDescent="0.2">
      <c r="A101" s="189" t="s">
        <v>248</v>
      </c>
      <c r="B101" s="195" t="s">
        <v>249</v>
      </c>
      <c r="C101" s="44" t="s">
        <v>248</v>
      </c>
      <c r="D101" s="263">
        <v>0</v>
      </c>
      <c r="E101" s="263">
        <v>0</v>
      </c>
      <c r="F101" s="190" t="str">
        <f t="shared" si="1"/>
        <v>-</v>
      </c>
    </row>
    <row r="102" spans="1:6" customFormat="1" ht="24" customHeight="1" x14ac:dyDescent="0.2">
      <c r="A102" s="189" t="s">
        <v>250</v>
      </c>
      <c r="B102" s="150" t="s">
        <v>251</v>
      </c>
      <c r="C102" s="44" t="s">
        <v>250</v>
      </c>
      <c r="D102" s="263">
        <v>0</v>
      </c>
      <c r="E102" s="263">
        <v>0</v>
      </c>
      <c r="F102" s="190" t="str">
        <f t="shared" si="1"/>
        <v>-</v>
      </c>
    </row>
    <row r="103" spans="1:6" customFormat="1" ht="24" customHeight="1" x14ac:dyDescent="0.2">
      <c r="A103" s="189" t="s">
        <v>252</v>
      </c>
      <c r="B103" s="195" t="s">
        <v>253</v>
      </c>
      <c r="C103" s="44" t="s">
        <v>252</v>
      </c>
      <c r="D103" s="263">
        <v>0</v>
      </c>
      <c r="E103" s="263">
        <v>0</v>
      </c>
      <c r="F103" s="190" t="str">
        <f t="shared" si="1"/>
        <v>-</v>
      </c>
    </row>
    <row r="104" spans="1:6" customFormat="1" ht="24" customHeight="1" x14ac:dyDescent="0.2">
      <c r="A104" s="189" t="s">
        <v>254</v>
      </c>
      <c r="B104" s="195" t="s">
        <v>255</v>
      </c>
      <c r="C104" s="44" t="s">
        <v>254</v>
      </c>
      <c r="D104" s="263">
        <v>0</v>
      </c>
      <c r="E104" s="263">
        <v>0</v>
      </c>
      <c r="F104" s="190" t="str">
        <f t="shared" si="1"/>
        <v>-</v>
      </c>
    </row>
    <row r="105" spans="1:6" customFormat="1" ht="12.75" customHeight="1" x14ac:dyDescent="0.2">
      <c r="A105" s="189" t="s">
        <v>256</v>
      </c>
      <c r="B105" s="150" t="s">
        <v>257</v>
      </c>
      <c r="C105" s="44" t="s">
        <v>256</v>
      </c>
      <c r="D105" s="263">
        <v>0</v>
      </c>
      <c r="E105" s="263">
        <v>0</v>
      </c>
      <c r="F105" s="190" t="str">
        <f t="shared" si="1"/>
        <v>-</v>
      </c>
    </row>
    <row r="106" spans="1:6" customFormat="1" ht="24" customHeight="1" x14ac:dyDescent="0.2">
      <c r="A106" s="189" t="s">
        <v>258</v>
      </c>
      <c r="B106" s="150" t="s">
        <v>259</v>
      </c>
      <c r="C106" s="44" t="s">
        <v>258</v>
      </c>
      <c r="D106" s="262">
        <f>D107+D112+D120</f>
        <v>27992.11</v>
      </c>
      <c r="E106" s="262">
        <f>E107+E112+E120</f>
        <v>24230.32</v>
      </c>
      <c r="F106" s="190">
        <f t="shared" si="1"/>
        <v>86.561248866198369</v>
      </c>
    </row>
    <row r="107" spans="1:6" customFormat="1" ht="12.75" customHeight="1" x14ac:dyDescent="0.2">
      <c r="A107" s="189" t="s">
        <v>260</v>
      </c>
      <c r="B107" s="150" t="s">
        <v>261</v>
      </c>
      <c r="C107" s="44" t="s">
        <v>260</v>
      </c>
      <c r="D107" s="262">
        <f>SUM(D108:D111)</f>
        <v>185.25</v>
      </c>
      <c r="E107" s="262">
        <f>SUM(E108:E111)</f>
        <v>0</v>
      </c>
      <c r="F107" s="190">
        <f t="shared" si="1"/>
        <v>0</v>
      </c>
    </row>
    <row r="108" spans="1:6" customFormat="1" ht="12.75" customHeight="1" x14ac:dyDescent="0.2">
      <c r="A108" s="189" t="s">
        <v>262</v>
      </c>
      <c r="B108" s="150" t="s">
        <v>263</v>
      </c>
      <c r="C108" s="44" t="s">
        <v>262</v>
      </c>
      <c r="D108" s="263">
        <v>0</v>
      </c>
      <c r="E108" s="263">
        <v>0</v>
      </c>
      <c r="F108" s="190" t="str">
        <f t="shared" si="1"/>
        <v>-</v>
      </c>
    </row>
    <row r="109" spans="1:6" customFormat="1" ht="12.75" customHeight="1" x14ac:dyDescent="0.2">
      <c r="A109" s="189" t="s">
        <v>264</v>
      </c>
      <c r="B109" s="150" t="s">
        <v>265</v>
      </c>
      <c r="C109" s="44" t="s">
        <v>264</v>
      </c>
      <c r="D109" s="263">
        <v>0</v>
      </c>
      <c r="E109" s="263">
        <v>0</v>
      </c>
      <c r="F109" s="190" t="str">
        <f t="shared" si="1"/>
        <v>-</v>
      </c>
    </row>
    <row r="110" spans="1:6" customFormat="1" ht="12.75" customHeight="1" x14ac:dyDescent="0.2">
      <c r="A110" s="189" t="s">
        <v>266</v>
      </c>
      <c r="B110" s="150" t="s">
        <v>267</v>
      </c>
      <c r="C110" s="44" t="s">
        <v>266</v>
      </c>
      <c r="D110" s="263">
        <v>0</v>
      </c>
      <c r="E110" s="263">
        <v>0</v>
      </c>
      <c r="F110" s="190" t="str">
        <f t="shared" si="1"/>
        <v>-</v>
      </c>
    </row>
    <row r="111" spans="1:6" customFormat="1" ht="12.75" customHeight="1" x14ac:dyDescent="0.2">
      <c r="A111" s="189" t="s">
        <v>268</v>
      </c>
      <c r="B111" s="150" t="s">
        <v>269</v>
      </c>
      <c r="C111" s="44" t="s">
        <v>268</v>
      </c>
      <c r="D111" s="263">
        <v>185.25</v>
      </c>
      <c r="E111" s="263">
        <v>0</v>
      </c>
      <c r="F111" s="190">
        <f t="shared" si="1"/>
        <v>0</v>
      </c>
    </row>
    <row r="112" spans="1:6" customFormat="1" ht="12.75" customHeight="1" x14ac:dyDescent="0.2">
      <c r="A112" s="189" t="s">
        <v>270</v>
      </c>
      <c r="B112" s="150" t="s">
        <v>271</v>
      </c>
      <c r="C112" s="44" t="s">
        <v>270</v>
      </c>
      <c r="D112" s="262">
        <f>SUM(D113:D119)</f>
        <v>141.99</v>
      </c>
      <c r="E112" s="262">
        <f>SUM(E113:E119)</f>
        <v>133.29</v>
      </c>
      <c r="F112" s="190">
        <f t="shared" si="1"/>
        <v>93.872807944221421</v>
      </c>
    </row>
    <row r="113" spans="1:6" customFormat="1" ht="12.75" customHeight="1" x14ac:dyDescent="0.2">
      <c r="A113" s="189" t="s">
        <v>272</v>
      </c>
      <c r="B113" s="150" t="s">
        <v>273</v>
      </c>
      <c r="C113" s="44" t="s">
        <v>272</v>
      </c>
      <c r="D113" s="263">
        <v>0</v>
      </c>
      <c r="E113" s="263">
        <v>0</v>
      </c>
      <c r="F113" s="190" t="str">
        <f t="shared" si="1"/>
        <v>-</v>
      </c>
    </row>
    <row r="114" spans="1:6" customFormat="1" ht="12.75" customHeight="1" x14ac:dyDescent="0.2">
      <c r="A114" s="189" t="s">
        <v>274</v>
      </c>
      <c r="B114" s="150" t="s">
        <v>275</v>
      </c>
      <c r="C114" s="44" t="s">
        <v>274</v>
      </c>
      <c r="D114" s="263">
        <v>141.99</v>
      </c>
      <c r="E114" s="263">
        <v>133.29</v>
      </c>
      <c r="F114" s="190">
        <f t="shared" si="1"/>
        <v>93.872807944221421</v>
      </c>
    </row>
    <row r="115" spans="1:6" customFormat="1" ht="12.75" customHeight="1" x14ac:dyDescent="0.2">
      <c r="A115" s="189" t="s">
        <v>276</v>
      </c>
      <c r="B115" s="150" t="s">
        <v>277</v>
      </c>
      <c r="C115" s="44" t="s">
        <v>276</v>
      </c>
      <c r="D115" s="263">
        <v>0</v>
      </c>
      <c r="E115" s="263">
        <v>0</v>
      </c>
      <c r="F115" s="190" t="str">
        <f t="shared" si="1"/>
        <v>-</v>
      </c>
    </row>
    <row r="116" spans="1:6" customFormat="1" ht="12.75" customHeight="1" x14ac:dyDescent="0.2">
      <c r="A116" s="189" t="s">
        <v>278</v>
      </c>
      <c r="B116" s="150" t="s">
        <v>279</v>
      </c>
      <c r="C116" s="44" t="s">
        <v>278</v>
      </c>
      <c r="D116" s="263">
        <v>0</v>
      </c>
      <c r="E116" s="263">
        <v>0</v>
      </c>
      <c r="F116" s="190" t="str">
        <f t="shared" si="1"/>
        <v>-</v>
      </c>
    </row>
    <row r="117" spans="1:6" customFormat="1" ht="12.75" customHeight="1" x14ac:dyDescent="0.2">
      <c r="A117" s="189" t="s">
        <v>280</v>
      </c>
      <c r="B117" s="150" t="s">
        <v>281</v>
      </c>
      <c r="C117" s="44" t="s">
        <v>280</v>
      </c>
      <c r="D117" s="263">
        <v>0</v>
      </c>
      <c r="E117" s="263">
        <v>0</v>
      </c>
      <c r="F117" s="190" t="str">
        <f t="shared" si="1"/>
        <v>-</v>
      </c>
    </row>
    <row r="118" spans="1:6" customFormat="1" ht="12.75" customHeight="1" x14ac:dyDescent="0.2">
      <c r="A118" s="189" t="s">
        <v>282</v>
      </c>
      <c r="B118" s="150" t="s">
        <v>283</v>
      </c>
      <c r="C118" s="44" t="s">
        <v>282</v>
      </c>
      <c r="D118" s="263">
        <v>0</v>
      </c>
      <c r="E118" s="263">
        <v>0</v>
      </c>
      <c r="F118" s="190" t="str">
        <f t="shared" si="1"/>
        <v>-</v>
      </c>
    </row>
    <row r="119" spans="1:6" customFormat="1" ht="24" customHeight="1" x14ac:dyDescent="0.2">
      <c r="A119" s="189" t="s">
        <v>284</v>
      </c>
      <c r="B119" s="195" t="s">
        <v>285</v>
      </c>
      <c r="C119" s="44" t="s">
        <v>284</v>
      </c>
      <c r="D119" s="263">
        <v>0</v>
      </c>
      <c r="E119" s="263">
        <v>0</v>
      </c>
      <c r="F119" s="190" t="str">
        <f t="shared" si="1"/>
        <v>-</v>
      </c>
    </row>
    <row r="120" spans="1:6" customFormat="1" ht="12.75" customHeight="1" x14ac:dyDescent="0.2">
      <c r="A120" s="189" t="s">
        <v>286</v>
      </c>
      <c r="B120" s="150" t="s">
        <v>287</v>
      </c>
      <c r="C120" s="44" t="s">
        <v>286</v>
      </c>
      <c r="D120" s="262">
        <f>SUM(D121:D123)</f>
        <v>27664.87</v>
      </c>
      <c r="E120" s="262">
        <f>SUM(E121:E123)</f>
        <v>24097.03</v>
      </c>
      <c r="F120" s="190">
        <f t="shared" si="1"/>
        <v>87.103355266082943</v>
      </c>
    </row>
    <row r="121" spans="1:6" customFormat="1" ht="12.75" customHeight="1" x14ac:dyDescent="0.2">
      <c r="A121" s="189" t="s">
        <v>288</v>
      </c>
      <c r="B121" s="150" t="s">
        <v>289</v>
      </c>
      <c r="C121" s="44" t="s">
        <v>288</v>
      </c>
      <c r="D121" s="263">
        <v>2631.77</v>
      </c>
      <c r="E121" s="263">
        <v>1517.93</v>
      </c>
      <c r="F121" s="190">
        <f t="shared" si="1"/>
        <v>57.677152638718432</v>
      </c>
    </row>
    <row r="122" spans="1:6" customFormat="1" ht="12.75" customHeight="1" x14ac:dyDescent="0.2">
      <c r="A122" s="189" t="s">
        <v>290</v>
      </c>
      <c r="B122" s="150" t="s">
        <v>291</v>
      </c>
      <c r="C122" s="44" t="s">
        <v>290</v>
      </c>
      <c r="D122" s="263">
        <v>25033.1</v>
      </c>
      <c r="E122" s="263">
        <v>22579.1</v>
      </c>
      <c r="F122" s="190">
        <f t="shared" si="1"/>
        <v>90.196979199539811</v>
      </c>
    </row>
    <row r="123" spans="1:6" customFormat="1" ht="12.75" customHeight="1" x14ac:dyDescent="0.2">
      <c r="A123" s="189" t="s">
        <v>292</v>
      </c>
      <c r="B123" s="150" t="s">
        <v>293</v>
      </c>
      <c r="C123" s="44" t="s">
        <v>292</v>
      </c>
      <c r="D123" s="263">
        <v>0</v>
      </c>
      <c r="E123" s="263">
        <v>0</v>
      </c>
      <c r="F123" s="190" t="str">
        <f t="shared" si="1"/>
        <v>-</v>
      </c>
    </row>
    <row r="124" spans="1:6" customFormat="1" ht="24" customHeight="1" x14ac:dyDescent="0.2">
      <c r="A124" s="189" t="s">
        <v>294</v>
      </c>
      <c r="B124" s="197" t="s">
        <v>295</v>
      </c>
      <c r="C124" s="44" t="s">
        <v>294</v>
      </c>
      <c r="D124" s="262">
        <f>D125+D128</f>
        <v>0</v>
      </c>
      <c r="E124" s="262">
        <f>E125+E128</f>
        <v>0</v>
      </c>
      <c r="F124" s="190" t="str">
        <f t="shared" si="1"/>
        <v>-</v>
      </c>
    </row>
    <row r="125" spans="1:6" customFormat="1" ht="12.75" customHeight="1" x14ac:dyDescent="0.2">
      <c r="A125" s="189" t="s">
        <v>296</v>
      </c>
      <c r="B125" s="196" t="s">
        <v>297</v>
      </c>
      <c r="C125" s="44" t="s">
        <v>296</v>
      </c>
      <c r="D125" s="262">
        <f>SUM(D126:D127)</f>
        <v>0</v>
      </c>
      <c r="E125" s="262">
        <f>SUM(E126:E127)</f>
        <v>0</v>
      </c>
      <c r="F125" s="190" t="str">
        <f t="shared" si="1"/>
        <v>-</v>
      </c>
    </row>
    <row r="126" spans="1:6" customFormat="1" ht="12.75" customHeight="1" x14ac:dyDescent="0.2">
      <c r="A126" s="189" t="s">
        <v>298</v>
      </c>
      <c r="B126" s="196" t="s">
        <v>299</v>
      </c>
      <c r="C126" s="44" t="s">
        <v>298</v>
      </c>
      <c r="D126" s="263">
        <v>0</v>
      </c>
      <c r="E126" s="263">
        <v>0</v>
      </c>
      <c r="F126" s="190" t="str">
        <f t="shared" si="1"/>
        <v>-</v>
      </c>
    </row>
    <row r="127" spans="1:6" customFormat="1" ht="12.75" customHeight="1" x14ac:dyDescent="0.2">
      <c r="A127" s="189" t="s">
        <v>300</v>
      </c>
      <c r="B127" s="196" t="s">
        <v>301</v>
      </c>
      <c r="C127" s="44" t="s">
        <v>300</v>
      </c>
      <c r="D127" s="263">
        <v>0</v>
      </c>
      <c r="E127" s="263">
        <v>0</v>
      </c>
      <c r="F127" s="190" t="str">
        <f t="shared" si="1"/>
        <v>-</v>
      </c>
    </row>
    <row r="128" spans="1:6" customFormat="1" ht="24" customHeight="1" x14ac:dyDescent="0.2">
      <c r="A128" s="189" t="s">
        <v>302</v>
      </c>
      <c r="B128" s="197" t="s">
        <v>303</v>
      </c>
      <c r="C128" s="44" t="s">
        <v>302</v>
      </c>
      <c r="D128" s="262">
        <f>SUM(D129:D132)</f>
        <v>0</v>
      </c>
      <c r="E128" s="262">
        <f>SUM(E129:E132)</f>
        <v>0</v>
      </c>
      <c r="F128" s="190" t="str">
        <f t="shared" si="1"/>
        <v>-</v>
      </c>
    </row>
    <row r="129" spans="1:6" customFormat="1" ht="12.75" customHeight="1" x14ac:dyDescent="0.2">
      <c r="A129" s="189" t="s">
        <v>304</v>
      </c>
      <c r="B129" s="196" t="s">
        <v>305</v>
      </c>
      <c r="C129" s="44" t="s">
        <v>304</v>
      </c>
      <c r="D129" s="263">
        <v>0</v>
      </c>
      <c r="E129" s="263">
        <v>0</v>
      </c>
      <c r="F129" s="190" t="str">
        <f t="shared" si="1"/>
        <v>-</v>
      </c>
    </row>
    <row r="130" spans="1:6" customFormat="1" ht="12.75" customHeight="1" x14ac:dyDescent="0.2">
      <c r="A130" s="189" t="s">
        <v>306</v>
      </c>
      <c r="B130" s="195" t="s">
        <v>307</v>
      </c>
      <c r="C130" s="44" t="s">
        <v>306</v>
      </c>
      <c r="D130" s="263">
        <v>0</v>
      </c>
      <c r="E130" s="263">
        <v>0</v>
      </c>
      <c r="F130" s="190" t="str">
        <f t="shared" si="1"/>
        <v>-</v>
      </c>
    </row>
    <row r="131" spans="1:6" customFormat="1" ht="24" customHeight="1" x14ac:dyDescent="0.2">
      <c r="A131" s="189" t="s">
        <v>308</v>
      </c>
      <c r="B131" s="195" t="s">
        <v>309</v>
      </c>
      <c r="C131" s="44" t="s">
        <v>308</v>
      </c>
      <c r="D131" s="263">
        <v>0</v>
      </c>
      <c r="E131" s="263">
        <v>0</v>
      </c>
      <c r="F131" s="190" t="str">
        <f t="shared" si="1"/>
        <v>-</v>
      </c>
    </row>
    <row r="132" spans="1:6" customFormat="1" ht="24" customHeight="1" x14ac:dyDescent="0.2">
      <c r="A132" s="189" t="s">
        <v>310</v>
      </c>
      <c r="B132" s="195" t="s">
        <v>311</v>
      </c>
      <c r="C132" s="44" t="s">
        <v>310</v>
      </c>
      <c r="D132" s="263">
        <v>0</v>
      </c>
      <c r="E132" s="263">
        <v>0</v>
      </c>
      <c r="F132" s="190" t="str">
        <f t="shared" si="1"/>
        <v>-</v>
      </c>
    </row>
    <row r="133" spans="1:6" customFormat="1" ht="24" customHeight="1" x14ac:dyDescent="0.2">
      <c r="A133" s="189" t="s">
        <v>312</v>
      </c>
      <c r="B133" s="195" t="s">
        <v>313</v>
      </c>
      <c r="C133" s="44" t="s">
        <v>312</v>
      </c>
      <c r="D133" s="262">
        <f>D134+D138</f>
        <v>0</v>
      </c>
      <c r="E133" s="262">
        <f>E134+E138</f>
        <v>0</v>
      </c>
      <c r="F133" s="190" t="str">
        <f t="shared" si="1"/>
        <v>-</v>
      </c>
    </row>
    <row r="134" spans="1:6" customFormat="1" ht="24" customHeight="1" x14ac:dyDescent="0.2">
      <c r="A134" s="189" t="s">
        <v>314</v>
      </c>
      <c r="B134" s="195" t="s">
        <v>315</v>
      </c>
      <c r="C134" s="44" t="s">
        <v>314</v>
      </c>
      <c r="D134" s="262">
        <f>SUM(D135:D137)</f>
        <v>0</v>
      </c>
      <c r="E134" s="262">
        <f>SUM(E135:E137)</f>
        <v>0</v>
      </c>
      <c r="F134" s="190" t="str">
        <f t="shared" ref="F134:F197" si="2">IF(D134&lt;&gt;0,IF(E134/D134&gt;=100,"&gt;&gt;100",E134/D134*100),"-")</f>
        <v>-</v>
      </c>
    </row>
    <row r="135" spans="1:6" customFormat="1" ht="12.75" customHeight="1" x14ac:dyDescent="0.2">
      <c r="A135" s="189" t="s">
        <v>316</v>
      </c>
      <c r="B135" s="150" t="s">
        <v>317</v>
      </c>
      <c r="C135" s="44" t="s">
        <v>316</v>
      </c>
      <c r="D135" s="263">
        <v>0</v>
      </c>
      <c r="E135" s="263">
        <v>0</v>
      </c>
      <c r="F135" s="190" t="str">
        <f t="shared" si="2"/>
        <v>-</v>
      </c>
    </row>
    <row r="136" spans="1:6" customFormat="1" ht="24" customHeight="1" x14ac:dyDescent="0.2">
      <c r="A136" s="189" t="s">
        <v>318</v>
      </c>
      <c r="B136" s="195" t="s">
        <v>319</v>
      </c>
      <c r="C136" s="44" t="s">
        <v>318</v>
      </c>
      <c r="D136" s="263">
        <v>0</v>
      </c>
      <c r="E136" s="263">
        <v>0</v>
      </c>
      <c r="F136" s="190" t="str">
        <f t="shared" si="2"/>
        <v>-</v>
      </c>
    </row>
    <row r="137" spans="1:6" customFormat="1" ht="24" customHeight="1" x14ac:dyDescent="0.2">
      <c r="A137" s="189" t="s">
        <v>320</v>
      </c>
      <c r="B137" s="150" t="s">
        <v>321</v>
      </c>
      <c r="C137" s="44" t="s">
        <v>320</v>
      </c>
      <c r="D137" s="263">
        <v>0</v>
      </c>
      <c r="E137" s="263">
        <v>0</v>
      </c>
      <c r="F137" s="190" t="str">
        <f t="shared" si="2"/>
        <v>-</v>
      </c>
    </row>
    <row r="138" spans="1:6" customFormat="1" ht="12.75" customHeight="1" x14ac:dyDescent="0.2">
      <c r="A138" s="189" t="s">
        <v>322</v>
      </c>
      <c r="B138" s="150" t="s">
        <v>323</v>
      </c>
      <c r="C138" s="44" t="s">
        <v>322</v>
      </c>
      <c r="D138" s="263">
        <v>0</v>
      </c>
      <c r="E138" s="263">
        <v>0</v>
      </c>
      <c r="F138" s="190" t="str">
        <f t="shared" si="2"/>
        <v>-</v>
      </c>
    </row>
    <row r="139" spans="1:6" customFormat="1" ht="12.75" customHeight="1" x14ac:dyDescent="0.2">
      <c r="A139" s="189" t="s">
        <v>324</v>
      </c>
      <c r="B139" s="150" t="s">
        <v>325</v>
      </c>
      <c r="C139" s="44" t="s">
        <v>324</v>
      </c>
      <c r="D139" s="262">
        <f>D140+D150</f>
        <v>0</v>
      </c>
      <c r="E139" s="262">
        <f>E140+E150</f>
        <v>0</v>
      </c>
      <c r="F139" s="190" t="str">
        <f t="shared" si="2"/>
        <v>-</v>
      </c>
    </row>
    <row r="140" spans="1:6" customFormat="1" ht="12.75" customHeight="1" x14ac:dyDescent="0.2">
      <c r="A140" s="189" t="s">
        <v>326</v>
      </c>
      <c r="B140" s="150" t="s">
        <v>327</v>
      </c>
      <c r="C140" s="44" t="s">
        <v>326</v>
      </c>
      <c r="D140" s="262">
        <f>SUM(D141:D149)</f>
        <v>0</v>
      </c>
      <c r="E140" s="262">
        <f>SUM(E141:E149)</f>
        <v>0</v>
      </c>
      <c r="F140" s="190" t="str">
        <f t="shared" si="2"/>
        <v>-</v>
      </c>
    </row>
    <row r="141" spans="1:6" customFormat="1" ht="12.75" customHeight="1" x14ac:dyDescent="0.2">
      <c r="A141" s="189" t="s">
        <v>328</v>
      </c>
      <c r="B141" s="150" t="s">
        <v>329</v>
      </c>
      <c r="C141" s="44" t="s">
        <v>328</v>
      </c>
      <c r="D141" s="263">
        <v>0</v>
      </c>
      <c r="E141" s="263">
        <v>0</v>
      </c>
      <c r="F141" s="190" t="str">
        <f t="shared" si="2"/>
        <v>-</v>
      </c>
    </row>
    <row r="142" spans="1:6" customFormat="1" ht="12.75" customHeight="1" x14ac:dyDescent="0.2">
      <c r="A142" s="189" t="s">
        <v>330</v>
      </c>
      <c r="B142" s="150" t="s">
        <v>331</v>
      </c>
      <c r="C142" s="44" t="s">
        <v>330</v>
      </c>
      <c r="D142" s="263">
        <v>0</v>
      </c>
      <c r="E142" s="263">
        <v>0</v>
      </c>
      <c r="F142" s="190" t="str">
        <f t="shared" si="2"/>
        <v>-</v>
      </c>
    </row>
    <row r="143" spans="1:6" customFormat="1" ht="12.75" customHeight="1" x14ac:dyDescent="0.2">
      <c r="A143" s="189" t="s">
        <v>332</v>
      </c>
      <c r="B143" s="150" t="s">
        <v>333</v>
      </c>
      <c r="C143" s="44" t="s">
        <v>332</v>
      </c>
      <c r="D143" s="263">
        <v>0</v>
      </c>
      <c r="E143" s="263">
        <v>0</v>
      </c>
      <c r="F143" s="190" t="str">
        <f t="shared" si="2"/>
        <v>-</v>
      </c>
    </row>
    <row r="144" spans="1:6" customFormat="1" ht="12.75" customHeight="1" x14ac:dyDescent="0.2">
      <c r="A144" s="189" t="s">
        <v>334</v>
      </c>
      <c r="B144" s="150" t="s">
        <v>335</v>
      </c>
      <c r="C144" s="44" t="s">
        <v>334</v>
      </c>
      <c r="D144" s="263">
        <v>0</v>
      </c>
      <c r="E144" s="263">
        <v>0</v>
      </c>
      <c r="F144" s="190" t="str">
        <f t="shared" si="2"/>
        <v>-</v>
      </c>
    </row>
    <row r="145" spans="1:6" customFormat="1" ht="12.75" customHeight="1" x14ac:dyDescent="0.2">
      <c r="A145" s="189" t="s">
        <v>336</v>
      </c>
      <c r="B145" s="150" t="s">
        <v>337</v>
      </c>
      <c r="C145" s="44" t="s">
        <v>336</v>
      </c>
      <c r="D145" s="263">
        <v>0</v>
      </c>
      <c r="E145" s="263">
        <v>0</v>
      </c>
      <c r="F145" s="190" t="str">
        <f t="shared" si="2"/>
        <v>-</v>
      </c>
    </row>
    <row r="146" spans="1:6" customFormat="1" ht="12.75" customHeight="1" x14ac:dyDescent="0.2">
      <c r="A146" s="189" t="s">
        <v>338</v>
      </c>
      <c r="B146" s="150" t="s">
        <v>339</v>
      </c>
      <c r="C146" s="44" t="s">
        <v>338</v>
      </c>
      <c r="D146" s="263">
        <v>0</v>
      </c>
      <c r="E146" s="263">
        <v>0</v>
      </c>
      <c r="F146" s="190" t="str">
        <f t="shared" si="2"/>
        <v>-</v>
      </c>
    </row>
    <row r="147" spans="1:6" customFormat="1" ht="12.75" customHeight="1" x14ac:dyDescent="0.2">
      <c r="A147" s="189" t="s">
        <v>340</v>
      </c>
      <c r="B147" s="150" t="s">
        <v>341</v>
      </c>
      <c r="C147" s="44" t="s">
        <v>340</v>
      </c>
      <c r="D147" s="263">
        <v>0</v>
      </c>
      <c r="E147" s="263">
        <v>0</v>
      </c>
      <c r="F147" s="190" t="str">
        <f t="shared" si="2"/>
        <v>-</v>
      </c>
    </row>
    <row r="148" spans="1:6" customFormat="1" ht="12.75" customHeight="1" x14ac:dyDescent="0.2">
      <c r="A148" s="189" t="s">
        <v>342</v>
      </c>
      <c r="B148" s="150" t="s">
        <v>343</v>
      </c>
      <c r="C148" s="44" t="s">
        <v>342</v>
      </c>
      <c r="D148" s="263">
        <v>0</v>
      </c>
      <c r="E148" s="263">
        <v>0</v>
      </c>
      <c r="F148" s="190" t="str">
        <f t="shared" si="2"/>
        <v>-</v>
      </c>
    </row>
    <row r="149" spans="1:6" customFormat="1" ht="12.75" customHeight="1" x14ac:dyDescent="0.2">
      <c r="A149" s="189" t="s">
        <v>344</v>
      </c>
      <c r="B149" s="150" t="s">
        <v>345</v>
      </c>
      <c r="C149" s="44" t="s">
        <v>344</v>
      </c>
      <c r="D149" s="263">
        <v>0</v>
      </c>
      <c r="E149" s="263">
        <v>0</v>
      </c>
      <c r="F149" s="190" t="str">
        <f t="shared" si="2"/>
        <v>-</v>
      </c>
    </row>
    <row r="150" spans="1:6" customFormat="1" ht="12.75" customHeight="1" x14ac:dyDescent="0.2">
      <c r="A150" s="189" t="s">
        <v>346</v>
      </c>
      <c r="B150" s="150" t="s">
        <v>347</v>
      </c>
      <c r="C150" s="44" t="s">
        <v>346</v>
      </c>
      <c r="D150" s="263">
        <v>0</v>
      </c>
      <c r="E150" s="263">
        <v>0</v>
      </c>
      <c r="F150" s="190" t="str">
        <f t="shared" si="2"/>
        <v>-</v>
      </c>
    </row>
    <row r="151" spans="1:6" customFormat="1" ht="12.75" customHeight="1" x14ac:dyDescent="0.2">
      <c r="A151" s="189" t="s">
        <v>56</v>
      </c>
      <c r="B151" s="150" t="s">
        <v>348</v>
      </c>
      <c r="C151" s="44" t="s">
        <v>56</v>
      </c>
      <c r="D151" s="262">
        <f>D152+D163+D196+D215+D224+D252+D263</f>
        <v>491820.43</v>
      </c>
      <c r="E151" s="262">
        <f>E152+E163+E196+E215+E224+E252+E263</f>
        <v>561636.31000000006</v>
      </c>
      <c r="F151" s="190">
        <f t="shared" si="2"/>
        <v>114.19540054486961</v>
      </c>
    </row>
    <row r="152" spans="1:6" customFormat="1" ht="12.75" customHeight="1" x14ac:dyDescent="0.2">
      <c r="A152" s="189" t="s">
        <v>349</v>
      </c>
      <c r="B152" s="150" t="s">
        <v>350</v>
      </c>
      <c r="C152" s="44" t="s">
        <v>349</v>
      </c>
      <c r="D152" s="262">
        <f>D153+D158+D159</f>
        <v>63284.75</v>
      </c>
      <c r="E152" s="262">
        <f>E153+E158+E159</f>
        <v>89855.74</v>
      </c>
      <c r="F152" s="190">
        <f t="shared" si="2"/>
        <v>141.98640272735534</v>
      </c>
    </row>
    <row r="153" spans="1:6" customFormat="1" ht="12.75" customHeight="1" x14ac:dyDescent="0.2">
      <c r="A153" s="189" t="s">
        <v>351</v>
      </c>
      <c r="B153" s="150" t="s">
        <v>352</v>
      </c>
      <c r="C153" s="44" t="s">
        <v>351</v>
      </c>
      <c r="D153" s="262">
        <f>SUM(D154:D157)</f>
        <v>54147.67</v>
      </c>
      <c r="E153" s="262">
        <f>SUM(E154:E157)</f>
        <v>72713.69</v>
      </c>
      <c r="F153" s="190">
        <f t="shared" si="2"/>
        <v>134.28775420992261</v>
      </c>
    </row>
    <row r="154" spans="1:6" customFormat="1" ht="12.75" customHeight="1" x14ac:dyDescent="0.2">
      <c r="A154" s="189" t="s">
        <v>353</v>
      </c>
      <c r="B154" s="150" t="s">
        <v>354</v>
      </c>
      <c r="C154" s="44" t="s">
        <v>353</v>
      </c>
      <c r="D154" s="263">
        <v>54147.67</v>
      </c>
      <c r="E154" s="263">
        <v>72713.69</v>
      </c>
      <c r="F154" s="190">
        <f t="shared" si="2"/>
        <v>134.28775420992261</v>
      </c>
    </row>
    <row r="155" spans="1:6" customFormat="1" ht="12.75" customHeight="1" x14ac:dyDescent="0.2">
      <c r="A155" s="189" t="s">
        <v>355</v>
      </c>
      <c r="B155" s="150" t="s">
        <v>356</v>
      </c>
      <c r="C155" s="44" t="s">
        <v>355</v>
      </c>
      <c r="D155" s="263">
        <v>0</v>
      </c>
      <c r="E155" s="263">
        <v>0</v>
      </c>
      <c r="F155" s="190" t="str">
        <f t="shared" si="2"/>
        <v>-</v>
      </c>
    </row>
    <row r="156" spans="1:6" customFormat="1" ht="12.75" customHeight="1" x14ac:dyDescent="0.2">
      <c r="A156" s="189" t="s">
        <v>357</v>
      </c>
      <c r="B156" s="150" t="s">
        <v>358</v>
      </c>
      <c r="C156" s="44" t="s">
        <v>357</v>
      </c>
      <c r="D156" s="263">
        <v>0</v>
      </c>
      <c r="E156" s="263">
        <v>0</v>
      </c>
      <c r="F156" s="190" t="str">
        <f t="shared" si="2"/>
        <v>-</v>
      </c>
    </row>
    <row r="157" spans="1:6" customFormat="1" ht="12.75" customHeight="1" x14ac:dyDescent="0.2">
      <c r="A157" s="189" t="s">
        <v>359</v>
      </c>
      <c r="B157" s="150" t="s">
        <v>360</v>
      </c>
      <c r="C157" s="44" t="s">
        <v>359</v>
      </c>
      <c r="D157" s="263">
        <v>0</v>
      </c>
      <c r="E157" s="263">
        <v>0</v>
      </c>
      <c r="F157" s="190" t="str">
        <f t="shared" si="2"/>
        <v>-</v>
      </c>
    </row>
    <row r="158" spans="1:6" customFormat="1" ht="12.75" customHeight="1" x14ac:dyDescent="0.2">
      <c r="A158" s="189" t="s">
        <v>361</v>
      </c>
      <c r="B158" s="150" t="s">
        <v>362</v>
      </c>
      <c r="C158" s="44" t="s">
        <v>361</v>
      </c>
      <c r="D158" s="263">
        <v>3192.64</v>
      </c>
      <c r="E158" s="263">
        <v>7139.08</v>
      </c>
      <c r="F158" s="190">
        <f t="shared" si="2"/>
        <v>223.61055427483211</v>
      </c>
    </row>
    <row r="159" spans="1:6" customFormat="1" ht="12.75" customHeight="1" x14ac:dyDescent="0.2">
      <c r="A159" s="189" t="s">
        <v>363</v>
      </c>
      <c r="B159" s="150" t="s">
        <v>364</v>
      </c>
      <c r="C159" s="44" t="s">
        <v>363</v>
      </c>
      <c r="D159" s="262">
        <f>SUM(D160:D162)</f>
        <v>5944.44</v>
      </c>
      <c r="E159" s="262">
        <f>SUM(E160:E162)</f>
        <v>10002.969999999999</v>
      </c>
      <c r="F159" s="190">
        <f t="shared" si="2"/>
        <v>168.27438749486916</v>
      </c>
    </row>
    <row r="160" spans="1:6" customFormat="1" ht="12.75" customHeight="1" x14ac:dyDescent="0.2">
      <c r="A160" s="189" t="s">
        <v>365</v>
      </c>
      <c r="B160" s="150" t="s">
        <v>143</v>
      </c>
      <c r="C160" s="44" t="s">
        <v>365</v>
      </c>
      <c r="D160" s="263">
        <v>0</v>
      </c>
      <c r="E160" s="263">
        <v>0</v>
      </c>
      <c r="F160" s="190" t="str">
        <f t="shared" si="2"/>
        <v>-</v>
      </c>
    </row>
    <row r="161" spans="1:6" customFormat="1" ht="12.75" customHeight="1" x14ac:dyDescent="0.2">
      <c r="A161" s="189" t="s">
        <v>366</v>
      </c>
      <c r="B161" s="150" t="s">
        <v>367</v>
      </c>
      <c r="C161" s="44" t="s">
        <v>366</v>
      </c>
      <c r="D161" s="263">
        <v>5944.44</v>
      </c>
      <c r="E161" s="263">
        <v>10002.969999999999</v>
      </c>
      <c r="F161" s="190">
        <f t="shared" si="2"/>
        <v>168.27438749486916</v>
      </c>
    </row>
    <row r="162" spans="1:6" customFormat="1" ht="12.75" customHeight="1" x14ac:dyDescent="0.2">
      <c r="A162" s="189" t="s">
        <v>368</v>
      </c>
      <c r="B162" s="150" t="s">
        <v>369</v>
      </c>
      <c r="C162" s="44" t="s">
        <v>368</v>
      </c>
      <c r="D162" s="263">
        <v>0</v>
      </c>
      <c r="E162" s="263">
        <v>0</v>
      </c>
      <c r="F162" s="190" t="str">
        <f t="shared" si="2"/>
        <v>-</v>
      </c>
    </row>
    <row r="163" spans="1:6" customFormat="1" ht="12.75" customHeight="1" x14ac:dyDescent="0.2">
      <c r="A163" s="189" t="s">
        <v>370</v>
      </c>
      <c r="B163" s="150" t="s">
        <v>371</v>
      </c>
      <c r="C163" s="44" t="s">
        <v>370</v>
      </c>
      <c r="D163" s="262">
        <f>D164+D169+D177+D187+D188</f>
        <v>306120.42</v>
      </c>
      <c r="E163" s="262">
        <f>E164+E169+E177+E187+E188</f>
        <v>262765.88</v>
      </c>
      <c r="F163" s="190">
        <f t="shared" si="2"/>
        <v>85.837423063773414</v>
      </c>
    </row>
    <row r="164" spans="1:6" customFormat="1" ht="12.75" customHeight="1" x14ac:dyDescent="0.2">
      <c r="A164" s="189" t="s">
        <v>372</v>
      </c>
      <c r="B164" s="150" t="s">
        <v>373</v>
      </c>
      <c r="C164" s="44" t="s">
        <v>372</v>
      </c>
      <c r="D164" s="262">
        <f>SUM(D165:D168)</f>
        <v>4793.72</v>
      </c>
      <c r="E164" s="262">
        <f>SUM(E165:E168)</f>
        <v>5941.99</v>
      </c>
      <c r="F164" s="190">
        <f t="shared" si="2"/>
        <v>123.95363100055906</v>
      </c>
    </row>
    <row r="165" spans="1:6" customFormat="1" ht="12.75" customHeight="1" x14ac:dyDescent="0.2">
      <c r="A165" s="189" t="s">
        <v>374</v>
      </c>
      <c r="B165" s="150" t="s">
        <v>375</v>
      </c>
      <c r="C165" s="44" t="s">
        <v>374</v>
      </c>
      <c r="D165" s="263">
        <v>1400.36</v>
      </c>
      <c r="E165" s="263">
        <v>1536.34</v>
      </c>
      <c r="F165" s="190">
        <f t="shared" si="2"/>
        <v>109.71036019309321</v>
      </c>
    </row>
    <row r="166" spans="1:6" customFormat="1" ht="12.75" customHeight="1" x14ac:dyDescent="0.2">
      <c r="A166" s="189" t="s">
        <v>376</v>
      </c>
      <c r="B166" s="150" t="s">
        <v>377</v>
      </c>
      <c r="C166" s="44" t="s">
        <v>376</v>
      </c>
      <c r="D166" s="263">
        <v>2069.52</v>
      </c>
      <c r="E166" s="263">
        <v>2235.89</v>
      </c>
      <c r="F166" s="190">
        <f t="shared" si="2"/>
        <v>108.03906219799759</v>
      </c>
    </row>
    <row r="167" spans="1:6" customFormat="1" ht="12.75" customHeight="1" x14ac:dyDescent="0.2">
      <c r="A167" s="189" t="s">
        <v>378</v>
      </c>
      <c r="B167" s="150" t="s">
        <v>379</v>
      </c>
      <c r="C167" s="44" t="s">
        <v>378</v>
      </c>
      <c r="D167" s="263">
        <v>420</v>
      </c>
      <c r="E167" s="263">
        <v>1037.5</v>
      </c>
      <c r="F167" s="190">
        <f t="shared" si="2"/>
        <v>247.02380952380955</v>
      </c>
    </row>
    <row r="168" spans="1:6" customFormat="1" ht="12.75" customHeight="1" x14ac:dyDescent="0.2">
      <c r="A168" s="189" t="s">
        <v>380</v>
      </c>
      <c r="B168" s="150" t="s">
        <v>381</v>
      </c>
      <c r="C168" s="44" t="s">
        <v>380</v>
      </c>
      <c r="D168" s="263">
        <v>903.84</v>
      </c>
      <c r="E168" s="263">
        <v>1132.26</v>
      </c>
      <c r="F168" s="190">
        <f t="shared" si="2"/>
        <v>125.27217206585235</v>
      </c>
    </row>
    <row r="169" spans="1:6" customFormat="1" ht="12.75" customHeight="1" x14ac:dyDescent="0.2">
      <c r="A169" s="189" t="s">
        <v>382</v>
      </c>
      <c r="B169" s="150" t="s">
        <v>383</v>
      </c>
      <c r="C169" s="44" t="s">
        <v>382</v>
      </c>
      <c r="D169" s="262">
        <f>SUM(D170:D176)</f>
        <v>34015.490000000005</v>
      </c>
      <c r="E169" s="262">
        <f>SUM(E170:E176)</f>
        <v>26949.359999999997</v>
      </c>
      <c r="F169" s="190">
        <f t="shared" si="2"/>
        <v>79.226728763866078</v>
      </c>
    </row>
    <row r="170" spans="1:6" customFormat="1" ht="12.75" customHeight="1" x14ac:dyDescent="0.2">
      <c r="A170" s="189" t="s">
        <v>384</v>
      </c>
      <c r="B170" s="150" t="s">
        <v>385</v>
      </c>
      <c r="C170" s="44" t="s">
        <v>384</v>
      </c>
      <c r="D170" s="263">
        <v>3185.5</v>
      </c>
      <c r="E170" s="263">
        <v>2341.06</v>
      </c>
      <c r="F170" s="190">
        <f t="shared" si="2"/>
        <v>73.491131690472457</v>
      </c>
    </row>
    <row r="171" spans="1:6" customFormat="1" ht="12.75" customHeight="1" x14ac:dyDescent="0.2">
      <c r="A171" s="189" t="s">
        <v>386</v>
      </c>
      <c r="B171" s="150" t="s">
        <v>387</v>
      </c>
      <c r="C171" s="44" t="s">
        <v>386</v>
      </c>
      <c r="D171" s="263">
        <v>295.68</v>
      </c>
      <c r="E171" s="263">
        <v>0</v>
      </c>
      <c r="F171" s="190">
        <f t="shared" si="2"/>
        <v>0</v>
      </c>
    </row>
    <row r="172" spans="1:6" customFormat="1" ht="12.75" customHeight="1" x14ac:dyDescent="0.2">
      <c r="A172" s="189" t="s">
        <v>388</v>
      </c>
      <c r="B172" s="150" t="s">
        <v>389</v>
      </c>
      <c r="C172" s="44" t="s">
        <v>388</v>
      </c>
      <c r="D172" s="263">
        <v>9352.69</v>
      </c>
      <c r="E172" s="263">
        <v>9848.14</v>
      </c>
      <c r="F172" s="190">
        <f t="shared" si="2"/>
        <v>105.29740641462509</v>
      </c>
    </row>
    <row r="173" spans="1:6" customFormat="1" ht="12.75" customHeight="1" x14ac:dyDescent="0.2">
      <c r="A173" s="189" t="s">
        <v>390</v>
      </c>
      <c r="B173" s="150" t="s">
        <v>391</v>
      </c>
      <c r="C173" s="44" t="s">
        <v>390</v>
      </c>
      <c r="D173" s="263">
        <v>20667.32</v>
      </c>
      <c r="E173" s="263">
        <v>13907.81</v>
      </c>
      <c r="F173" s="190">
        <f t="shared" si="2"/>
        <v>67.293727488614877</v>
      </c>
    </row>
    <row r="174" spans="1:6" customFormat="1" ht="12.75" customHeight="1" x14ac:dyDescent="0.2">
      <c r="A174" s="189" t="s">
        <v>392</v>
      </c>
      <c r="B174" s="150" t="s">
        <v>393</v>
      </c>
      <c r="C174" s="44" t="s">
        <v>392</v>
      </c>
      <c r="D174" s="263">
        <v>514.29999999999995</v>
      </c>
      <c r="E174" s="263">
        <v>822.35</v>
      </c>
      <c r="F174" s="190">
        <f t="shared" si="2"/>
        <v>159.89694730701927</v>
      </c>
    </row>
    <row r="175" spans="1:6" customFormat="1" ht="12.75" customHeight="1" x14ac:dyDescent="0.2">
      <c r="A175" s="189" t="s">
        <v>394</v>
      </c>
      <c r="B175" s="150" t="s">
        <v>395</v>
      </c>
      <c r="C175" s="44" t="s">
        <v>394</v>
      </c>
      <c r="D175" s="263">
        <v>0</v>
      </c>
      <c r="E175" s="263">
        <v>0</v>
      </c>
      <c r="F175" s="190" t="str">
        <f t="shared" si="2"/>
        <v>-</v>
      </c>
    </row>
    <row r="176" spans="1:6" customFormat="1" ht="12.75" customHeight="1" x14ac:dyDescent="0.2">
      <c r="A176" s="189" t="s">
        <v>396</v>
      </c>
      <c r="B176" s="150" t="s">
        <v>397</v>
      </c>
      <c r="C176" s="44" t="s">
        <v>396</v>
      </c>
      <c r="D176" s="263">
        <v>0</v>
      </c>
      <c r="E176" s="263">
        <v>30</v>
      </c>
      <c r="F176" s="190" t="str">
        <f t="shared" si="2"/>
        <v>-</v>
      </c>
    </row>
    <row r="177" spans="1:6" customFormat="1" ht="12.75" customHeight="1" x14ac:dyDescent="0.2">
      <c r="A177" s="189" t="s">
        <v>398</v>
      </c>
      <c r="B177" s="150" t="s">
        <v>399</v>
      </c>
      <c r="C177" s="44" t="s">
        <v>398</v>
      </c>
      <c r="D177" s="262">
        <f>SUM(D178:D186)</f>
        <v>248638.47</v>
      </c>
      <c r="E177" s="262">
        <f>SUM(E178:E186)</f>
        <v>208798.45</v>
      </c>
      <c r="F177" s="190">
        <f t="shared" si="2"/>
        <v>83.976727334269725</v>
      </c>
    </row>
    <row r="178" spans="1:6" customFormat="1" ht="12.75" customHeight="1" x14ac:dyDescent="0.2">
      <c r="A178" s="189" t="s">
        <v>400</v>
      </c>
      <c r="B178" s="150" t="s">
        <v>401</v>
      </c>
      <c r="C178" s="44" t="s">
        <v>400</v>
      </c>
      <c r="D178" s="263">
        <v>4299.01</v>
      </c>
      <c r="E178" s="263">
        <v>4449.95</v>
      </c>
      <c r="F178" s="190">
        <f t="shared" si="2"/>
        <v>103.5110409140709</v>
      </c>
    </row>
    <row r="179" spans="1:6" customFormat="1" ht="12.75" customHeight="1" x14ac:dyDescent="0.2">
      <c r="A179" s="189" t="s">
        <v>402</v>
      </c>
      <c r="B179" s="150" t="s">
        <v>403</v>
      </c>
      <c r="C179" s="44" t="s">
        <v>402</v>
      </c>
      <c r="D179" s="263">
        <v>186309.86</v>
      </c>
      <c r="E179" s="263">
        <v>137167.43</v>
      </c>
      <c r="F179" s="190">
        <f t="shared" si="2"/>
        <v>73.623280056138739</v>
      </c>
    </row>
    <row r="180" spans="1:6" customFormat="1" ht="12.75" customHeight="1" x14ac:dyDescent="0.2">
      <c r="A180" s="189" t="s">
        <v>404</v>
      </c>
      <c r="B180" s="150" t="s">
        <v>405</v>
      </c>
      <c r="C180" s="44" t="s">
        <v>404</v>
      </c>
      <c r="D180" s="263">
        <v>7752.18</v>
      </c>
      <c r="E180" s="263">
        <v>14223.99</v>
      </c>
      <c r="F180" s="190">
        <f t="shared" si="2"/>
        <v>183.48374263755485</v>
      </c>
    </row>
    <row r="181" spans="1:6" customFormat="1" ht="12.75" customHeight="1" x14ac:dyDescent="0.2">
      <c r="A181" s="189" t="s">
        <v>406</v>
      </c>
      <c r="B181" s="150" t="s">
        <v>407</v>
      </c>
      <c r="C181" s="44" t="s">
        <v>406</v>
      </c>
      <c r="D181" s="263">
        <v>12954.17</v>
      </c>
      <c r="E181" s="263">
        <v>13294.13</v>
      </c>
      <c r="F181" s="190">
        <f t="shared" si="2"/>
        <v>102.62432869107012</v>
      </c>
    </row>
    <row r="182" spans="1:6" customFormat="1" ht="12.75" customHeight="1" x14ac:dyDescent="0.2">
      <c r="A182" s="189" t="s">
        <v>408</v>
      </c>
      <c r="B182" s="150" t="s">
        <v>409</v>
      </c>
      <c r="C182" s="44" t="s">
        <v>408</v>
      </c>
      <c r="D182" s="263">
        <v>471.57</v>
      </c>
      <c r="E182" s="263">
        <v>1878.24</v>
      </c>
      <c r="F182" s="190">
        <f t="shared" si="2"/>
        <v>398.29505693746421</v>
      </c>
    </row>
    <row r="183" spans="1:6" customFormat="1" ht="12.75" customHeight="1" x14ac:dyDescent="0.2">
      <c r="A183" s="189" t="s">
        <v>410</v>
      </c>
      <c r="B183" s="150" t="s">
        <v>411</v>
      </c>
      <c r="C183" s="44" t="s">
        <v>410</v>
      </c>
      <c r="D183" s="263">
        <v>0</v>
      </c>
      <c r="E183" s="263">
        <v>0</v>
      </c>
      <c r="F183" s="190" t="str">
        <f t="shared" si="2"/>
        <v>-</v>
      </c>
    </row>
    <row r="184" spans="1:6" customFormat="1" ht="12.75" customHeight="1" x14ac:dyDescent="0.2">
      <c r="A184" s="189" t="s">
        <v>412</v>
      </c>
      <c r="B184" s="150" t="s">
        <v>413</v>
      </c>
      <c r="C184" s="44" t="s">
        <v>412</v>
      </c>
      <c r="D184" s="263">
        <v>26788.59</v>
      </c>
      <c r="E184" s="263">
        <v>27174.79</v>
      </c>
      <c r="F184" s="190">
        <f t="shared" si="2"/>
        <v>101.44165855687066</v>
      </c>
    </row>
    <row r="185" spans="1:6" customFormat="1" ht="12.75" customHeight="1" x14ac:dyDescent="0.2">
      <c r="A185" s="189" t="s">
        <v>414</v>
      </c>
      <c r="B185" s="150" t="s">
        <v>415</v>
      </c>
      <c r="C185" s="44" t="s">
        <v>414</v>
      </c>
      <c r="D185" s="263">
        <v>4638.1000000000004</v>
      </c>
      <c r="E185" s="263">
        <v>4401.45</v>
      </c>
      <c r="F185" s="190">
        <f t="shared" si="2"/>
        <v>94.897695176904335</v>
      </c>
    </row>
    <row r="186" spans="1:6" customFormat="1" ht="12.75" customHeight="1" x14ac:dyDescent="0.2">
      <c r="A186" s="189" t="s">
        <v>416</v>
      </c>
      <c r="B186" s="150" t="s">
        <v>417</v>
      </c>
      <c r="C186" s="44" t="s">
        <v>416</v>
      </c>
      <c r="D186" s="263">
        <v>5424.99</v>
      </c>
      <c r="E186" s="263">
        <v>6208.47</v>
      </c>
      <c r="F186" s="190">
        <f t="shared" si="2"/>
        <v>114.44205427106779</v>
      </c>
    </row>
    <row r="187" spans="1:6" customFormat="1" ht="12.75" customHeight="1" x14ac:dyDescent="0.2">
      <c r="A187" s="189" t="s">
        <v>418</v>
      </c>
      <c r="B187" s="150" t="s">
        <v>419</v>
      </c>
      <c r="C187" s="44" t="s">
        <v>418</v>
      </c>
      <c r="D187" s="263">
        <v>63.7</v>
      </c>
      <c r="E187" s="263">
        <v>0</v>
      </c>
      <c r="F187" s="190">
        <f t="shared" si="2"/>
        <v>0</v>
      </c>
    </row>
    <row r="188" spans="1:6" customFormat="1" ht="12.75" customHeight="1" x14ac:dyDescent="0.2">
      <c r="A188" s="189" t="s">
        <v>420</v>
      </c>
      <c r="B188" s="150" t="s">
        <v>421</v>
      </c>
      <c r="C188" s="44" t="s">
        <v>420</v>
      </c>
      <c r="D188" s="262">
        <f>SUM(D189:D195)</f>
        <v>18609.04</v>
      </c>
      <c r="E188" s="262">
        <f>SUM(E189:E195)</f>
        <v>21076.079999999998</v>
      </c>
      <c r="F188" s="190">
        <f t="shared" si="2"/>
        <v>113.25721262354209</v>
      </c>
    </row>
    <row r="189" spans="1:6" customFormat="1" ht="12.75" customHeight="1" x14ac:dyDescent="0.2">
      <c r="A189" s="189" t="s">
        <v>422</v>
      </c>
      <c r="B189" s="195" t="s">
        <v>423</v>
      </c>
      <c r="C189" s="44" t="s">
        <v>422</v>
      </c>
      <c r="D189" s="263">
        <v>11739.6</v>
      </c>
      <c r="E189" s="263">
        <v>11652.48</v>
      </c>
      <c r="F189" s="190">
        <f t="shared" si="2"/>
        <v>99.257896350812629</v>
      </c>
    </row>
    <row r="190" spans="1:6" customFormat="1" ht="12.75" customHeight="1" x14ac:dyDescent="0.2">
      <c r="A190" s="189" t="s">
        <v>424</v>
      </c>
      <c r="B190" s="150" t="s">
        <v>425</v>
      </c>
      <c r="C190" s="44" t="s">
        <v>424</v>
      </c>
      <c r="D190" s="263">
        <v>1621.82</v>
      </c>
      <c r="E190" s="263">
        <v>954.26</v>
      </c>
      <c r="F190" s="190">
        <f t="shared" si="2"/>
        <v>58.838835382471544</v>
      </c>
    </row>
    <row r="191" spans="1:6" customFormat="1" ht="12.75" customHeight="1" x14ac:dyDescent="0.2">
      <c r="A191" s="189" t="s">
        <v>426</v>
      </c>
      <c r="B191" s="150" t="s">
        <v>427</v>
      </c>
      <c r="C191" s="44" t="s">
        <v>426</v>
      </c>
      <c r="D191" s="263">
        <v>2255.64</v>
      </c>
      <c r="E191" s="263">
        <v>3748.14</v>
      </c>
      <c r="F191" s="190">
        <f t="shared" si="2"/>
        <v>166.16747353301059</v>
      </c>
    </row>
    <row r="192" spans="1:6" customFormat="1" ht="12.75" customHeight="1" x14ac:dyDescent="0.2">
      <c r="A192" s="189" t="s">
        <v>428</v>
      </c>
      <c r="B192" s="150" t="s">
        <v>429</v>
      </c>
      <c r="C192" s="44" t="s">
        <v>428</v>
      </c>
      <c r="D192" s="263">
        <v>262.08</v>
      </c>
      <c r="E192" s="263">
        <v>1233.1400000000001</v>
      </c>
      <c r="F192" s="190">
        <f t="shared" si="2"/>
        <v>470.52045177045187</v>
      </c>
    </row>
    <row r="193" spans="1:6" customFormat="1" ht="12.75" customHeight="1" x14ac:dyDescent="0.2">
      <c r="A193" s="189" t="s">
        <v>430</v>
      </c>
      <c r="B193" s="150" t="s">
        <v>431</v>
      </c>
      <c r="C193" s="44" t="s">
        <v>430</v>
      </c>
      <c r="D193" s="263">
        <v>1867.91</v>
      </c>
      <c r="E193" s="263">
        <v>1969.43</v>
      </c>
      <c r="F193" s="190">
        <f t="shared" si="2"/>
        <v>105.43495136275303</v>
      </c>
    </row>
    <row r="194" spans="1:6" customFormat="1" ht="12.75" customHeight="1" x14ac:dyDescent="0.2">
      <c r="A194" s="189" t="s">
        <v>432</v>
      </c>
      <c r="B194" s="150" t="s">
        <v>433</v>
      </c>
      <c r="C194" s="44" t="s">
        <v>432</v>
      </c>
      <c r="D194" s="263">
        <v>0</v>
      </c>
      <c r="E194" s="263">
        <v>206.94</v>
      </c>
      <c r="F194" s="190" t="str">
        <f t="shared" si="2"/>
        <v>-</v>
      </c>
    </row>
    <row r="195" spans="1:6" customFormat="1" ht="12.75" customHeight="1" x14ac:dyDescent="0.2">
      <c r="A195" s="189" t="s">
        <v>434</v>
      </c>
      <c r="B195" s="150" t="s">
        <v>435</v>
      </c>
      <c r="C195" s="44" t="s">
        <v>434</v>
      </c>
      <c r="D195" s="263">
        <v>861.99</v>
      </c>
      <c r="E195" s="263">
        <v>1311.69</v>
      </c>
      <c r="F195" s="190">
        <f t="shared" si="2"/>
        <v>152.16997877005534</v>
      </c>
    </row>
    <row r="196" spans="1:6" customFormat="1" ht="12.75" customHeight="1" x14ac:dyDescent="0.2">
      <c r="A196" s="189" t="s">
        <v>436</v>
      </c>
      <c r="B196" s="195" t="s">
        <v>437</v>
      </c>
      <c r="C196" s="44" t="s">
        <v>436</v>
      </c>
      <c r="D196" s="262">
        <f>D197+D202+D210</f>
        <v>1028.51</v>
      </c>
      <c r="E196" s="262">
        <f>E197+E202+E210</f>
        <v>4315.17</v>
      </c>
      <c r="F196" s="190">
        <f t="shared" si="2"/>
        <v>419.55547345188677</v>
      </c>
    </row>
    <row r="197" spans="1:6" customFormat="1" ht="12.75" customHeight="1" x14ac:dyDescent="0.2">
      <c r="A197" s="189" t="s">
        <v>438</v>
      </c>
      <c r="B197" s="150" t="s">
        <v>439</v>
      </c>
      <c r="C197" s="44" t="s">
        <v>438</v>
      </c>
      <c r="D197" s="262">
        <f>SUM(D198:D201)</f>
        <v>0</v>
      </c>
      <c r="E197" s="262">
        <f>SUM(E198:E201)</f>
        <v>0</v>
      </c>
      <c r="F197" s="190" t="str">
        <f t="shared" si="2"/>
        <v>-</v>
      </c>
    </row>
    <row r="198" spans="1:6" customFormat="1" ht="12.75" customHeight="1" x14ac:dyDescent="0.2">
      <c r="A198" s="189" t="s">
        <v>440</v>
      </c>
      <c r="B198" s="150" t="s">
        <v>441</v>
      </c>
      <c r="C198" s="44" t="s">
        <v>440</v>
      </c>
      <c r="D198" s="263">
        <v>0</v>
      </c>
      <c r="E198" s="263">
        <v>0</v>
      </c>
      <c r="F198" s="190" t="str">
        <f t="shared" ref="F198:F261" si="3">IF(D198&lt;&gt;0,IF(E198/D198&gt;=100,"&gt;&gt;100",E198/D198*100),"-")</f>
        <v>-</v>
      </c>
    </row>
    <row r="199" spans="1:6" customFormat="1" ht="12.75" customHeight="1" x14ac:dyDescent="0.2">
      <c r="A199" s="189" t="s">
        <v>442</v>
      </c>
      <c r="B199" s="150" t="s">
        <v>443</v>
      </c>
      <c r="C199" s="44" t="s">
        <v>442</v>
      </c>
      <c r="D199" s="263">
        <v>0</v>
      </c>
      <c r="E199" s="263">
        <v>0</v>
      </c>
      <c r="F199" s="190" t="str">
        <f t="shared" si="3"/>
        <v>-</v>
      </c>
    </row>
    <row r="200" spans="1:6" customFormat="1" ht="12.75" customHeight="1" x14ac:dyDescent="0.2">
      <c r="A200" s="189" t="s">
        <v>444</v>
      </c>
      <c r="B200" s="150" t="s">
        <v>445</v>
      </c>
      <c r="C200" s="44" t="s">
        <v>444</v>
      </c>
      <c r="D200" s="263">
        <v>0</v>
      </c>
      <c r="E200" s="263">
        <v>0</v>
      </c>
      <c r="F200" s="190" t="str">
        <f t="shared" si="3"/>
        <v>-</v>
      </c>
    </row>
    <row r="201" spans="1:6" customFormat="1" ht="12.75" customHeight="1" x14ac:dyDescent="0.2">
      <c r="A201" s="189" t="s">
        <v>446</v>
      </c>
      <c r="B201" s="150" t="s">
        <v>447</v>
      </c>
      <c r="C201" s="44" t="s">
        <v>446</v>
      </c>
      <c r="D201" s="263">
        <v>0</v>
      </c>
      <c r="E201" s="263">
        <v>0</v>
      </c>
      <c r="F201" s="190" t="str">
        <f t="shared" si="3"/>
        <v>-</v>
      </c>
    </row>
    <row r="202" spans="1:6" customFormat="1" ht="12.75" customHeight="1" x14ac:dyDescent="0.2">
      <c r="A202" s="189" t="s">
        <v>448</v>
      </c>
      <c r="B202" s="150" t="s">
        <v>449</v>
      </c>
      <c r="C202" s="44" t="s">
        <v>448</v>
      </c>
      <c r="D202" s="262">
        <f>SUM(D203:D209)</f>
        <v>0</v>
      </c>
      <c r="E202" s="262">
        <f>SUM(E203:E209)</f>
        <v>720.62</v>
      </c>
      <c r="F202" s="190" t="str">
        <f t="shared" si="3"/>
        <v>-</v>
      </c>
    </row>
    <row r="203" spans="1:6" customFormat="1" ht="24" customHeight="1" x14ac:dyDescent="0.2">
      <c r="A203" s="189" t="s">
        <v>450</v>
      </c>
      <c r="B203" s="150" t="s">
        <v>451</v>
      </c>
      <c r="C203" s="44" t="s">
        <v>450</v>
      </c>
      <c r="D203" s="263">
        <v>0</v>
      </c>
      <c r="E203" s="263">
        <v>0</v>
      </c>
      <c r="F203" s="190" t="str">
        <f t="shared" si="3"/>
        <v>-</v>
      </c>
    </row>
    <row r="204" spans="1:6" customFormat="1" ht="24" customHeight="1" x14ac:dyDescent="0.2">
      <c r="A204" s="189" t="s">
        <v>452</v>
      </c>
      <c r="B204" s="195" t="s">
        <v>453</v>
      </c>
      <c r="C204" s="44" t="s">
        <v>452</v>
      </c>
      <c r="D204" s="263">
        <v>0</v>
      </c>
      <c r="E204" s="263">
        <v>720.62</v>
      </c>
      <c r="F204" s="190" t="str">
        <f t="shared" si="3"/>
        <v>-</v>
      </c>
    </row>
    <row r="205" spans="1:6" customFormat="1" ht="24" customHeight="1" x14ac:dyDescent="0.2">
      <c r="A205" s="189" t="s">
        <v>454</v>
      </c>
      <c r="B205" s="195" t="s">
        <v>455</v>
      </c>
      <c r="C205" s="44" t="s">
        <v>454</v>
      </c>
      <c r="D205" s="263">
        <v>0</v>
      </c>
      <c r="E205" s="263">
        <v>0</v>
      </c>
      <c r="F205" s="190" t="str">
        <f t="shared" si="3"/>
        <v>-</v>
      </c>
    </row>
    <row r="206" spans="1:6" customFormat="1" ht="12.75" customHeight="1" x14ac:dyDescent="0.2">
      <c r="A206" s="189" t="s">
        <v>456</v>
      </c>
      <c r="B206" s="150" t="s">
        <v>457</v>
      </c>
      <c r="C206" s="44" t="s">
        <v>456</v>
      </c>
      <c r="D206" s="263">
        <v>0</v>
      </c>
      <c r="E206" s="263">
        <v>0</v>
      </c>
      <c r="F206" s="190" t="str">
        <f t="shared" si="3"/>
        <v>-</v>
      </c>
    </row>
    <row r="207" spans="1:6" customFormat="1" ht="12.75" customHeight="1" x14ac:dyDescent="0.2">
      <c r="A207" s="189" t="s">
        <v>458</v>
      </c>
      <c r="B207" s="150" t="s">
        <v>459</v>
      </c>
      <c r="C207" s="44" t="s">
        <v>458</v>
      </c>
      <c r="D207" s="263">
        <v>0</v>
      </c>
      <c r="E207" s="263">
        <v>0</v>
      </c>
      <c r="F207" s="190" t="str">
        <f t="shared" si="3"/>
        <v>-</v>
      </c>
    </row>
    <row r="208" spans="1:6" customFormat="1" ht="24" customHeight="1" x14ac:dyDescent="0.2">
      <c r="A208" s="189" t="s">
        <v>460</v>
      </c>
      <c r="B208" s="150" t="s">
        <v>461</v>
      </c>
      <c r="C208" s="44" t="s">
        <v>460</v>
      </c>
      <c r="D208" s="263">
        <v>0</v>
      </c>
      <c r="E208" s="263">
        <v>0</v>
      </c>
      <c r="F208" s="190" t="str">
        <f t="shared" si="3"/>
        <v>-</v>
      </c>
    </row>
    <row r="209" spans="1:6" customFormat="1" ht="12.75" customHeight="1" x14ac:dyDescent="0.2">
      <c r="A209" s="189" t="s">
        <v>462</v>
      </c>
      <c r="B209" s="150" t="s">
        <v>463</v>
      </c>
      <c r="C209" s="44" t="s">
        <v>462</v>
      </c>
      <c r="D209" s="263">
        <v>0</v>
      </c>
      <c r="E209" s="263">
        <v>0</v>
      </c>
      <c r="F209" s="190" t="str">
        <f t="shared" si="3"/>
        <v>-</v>
      </c>
    </row>
    <row r="210" spans="1:6" customFormat="1" ht="12.75" customHeight="1" x14ac:dyDescent="0.2">
      <c r="A210" s="189" t="s">
        <v>464</v>
      </c>
      <c r="B210" s="150" t="s">
        <v>465</v>
      </c>
      <c r="C210" s="44" t="s">
        <v>464</v>
      </c>
      <c r="D210" s="262">
        <f>SUM(D211:D214)</f>
        <v>1028.51</v>
      </c>
      <c r="E210" s="262">
        <f>SUM(E211:E214)</f>
        <v>3594.55</v>
      </c>
      <c r="F210" s="190">
        <f t="shared" si="3"/>
        <v>349.49101126872858</v>
      </c>
    </row>
    <row r="211" spans="1:6" customFormat="1" ht="12.75" customHeight="1" x14ac:dyDescent="0.2">
      <c r="A211" s="189" t="s">
        <v>466</v>
      </c>
      <c r="B211" s="195" t="s">
        <v>467</v>
      </c>
      <c r="C211" s="44" t="s">
        <v>466</v>
      </c>
      <c r="D211" s="263">
        <v>1028.51</v>
      </c>
      <c r="E211" s="263">
        <v>3594.55</v>
      </c>
      <c r="F211" s="190">
        <f t="shared" si="3"/>
        <v>349.49101126872858</v>
      </c>
    </row>
    <row r="212" spans="1:6" customFormat="1" ht="12.75" customHeight="1" x14ac:dyDescent="0.2">
      <c r="A212" s="189" t="s">
        <v>468</v>
      </c>
      <c r="B212" s="150" t="s">
        <v>469</v>
      </c>
      <c r="C212" s="44" t="s">
        <v>468</v>
      </c>
      <c r="D212" s="263">
        <v>0</v>
      </c>
      <c r="E212" s="263">
        <v>0</v>
      </c>
      <c r="F212" s="190" t="str">
        <f t="shared" si="3"/>
        <v>-</v>
      </c>
    </row>
    <row r="213" spans="1:6" customFormat="1" ht="12.75" customHeight="1" x14ac:dyDescent="0.2">
      <c r="A213" s="189" t="s">
        <v>470</v>
      </c>
      <c r="B213" s="150" t="s">
        <v>471</v>
      </c>
      <c r="C213" s="44" t="s">
        <v>470</v>
      </c>
      <c r="D213" s="263">
        <v>0</v>
      </c>
      <c r="E213" s="263">
        <v>0</v>
      </c>
      <c r="F213" s="190" t="str">
        <f t="shared" si="3"/>
        <v>-</v>
      </c>
    </row>
    <row r="214" spans="1:6" customFormat="1" ht="12.75" customHeight="1" x14ac:dyDescent="0.2">
      <c r="A214" s="189" t="s">
        <v>472</v>
      </c>
      <c r="B214" s="150" t="s">
        <v>473</v>
      </c>
      <c r="C214" s="44" t="s">
        <v>472</v>
      </c>
      <c r="D214" s="263">
        <v>0</v>
      </c>
      <c r="E214" s="263">
        <v>0</v>
      </c>
      <c r="F214" s="190" t="str">
        <f t="shared" si="3"/>
        <v>-</v>
      </c>
    </row>
    <row r="215" spans="1:6" customFormat="1" ht="12.75" customHeight="1" x14ac:dyDescent="0.2">
      <c r="A215" s="189" t="s">
        <v>474</v>
      </c>
      <c r="B215" s="150" t="s">
        <v>475</v>
      </c>
      <c r="C215" s="44" t="s">
        <v>474</v>
      </c>
      <c r="D215" s="262">
        <f>D216+D219+D223</f>
        <v>0</v>
      </c>
      <c r="E215" s="262">
        <f>E216+E219+E223</f>
        <v>0</v>
      </c>
      <c r="F215" s="190" t="str">
        <f t="shared" si="3"/>
        <v>-</v>
      </c>
    </row>
    <row r="216" spans="1:6" customFormat="1" ht="12.75" customHeight="1" x14ac:dyDescent="0.2">
      <c r="A216" s="189" t="s">
        <v>476</v>
      </c>
      <c r="B216" s="150" t="s">
        <v>477</v>
      </c>
      <c r="C216" s="44" t="s">
        <v>476</v>
      </c>
      <c r="D216" s="262">
        <f>SUM(D217:D218)</f>
        <v>0</v>
      </c>
      <c r="E216" s="262">
        <f>SUM(E217:E218)</f>
        <v>0</v>
      </c>
      <c r="F216" s="190" t="str">
        <f t="shared" si="3"/>
        <v>-</v>
      </c>
    </row>
    <row r="217" spans="1:6" customFormat="1" ht="12.75" customHeight="1" x14ac:dyDescent="0.2">
      <c r="A217" s="189" t="s">
        <v>478</v>
      </c>
      <c r="B217" s="150" t="s">
        <v>479</v>
      </c>
      <c r="C217" s="44" t="s">
        <v>478</v>
      </c>
      <c r="D217" s="263">
        <v>0</v>
      </c>
      <c r="E217" s="263">
        <v>0</v>
      </c>
      <c r="F217" s="190" t="str">
        <f t="shared" si="3"/>
        <v>-</v>
      </c>
    </row>
    <row r="218" spans="1:6" customFormat="1" ht="12.75" customHeight="1" x14ac:dyDescent="0.2">
      <c r="A218" s="189" t="s">
        <v>480</v>
      </c>
      <c r="B218" s="150" t="s">
        <v>481</v>
      </c>
      <c r="C218" s="44" t="s">
        <v>480</v>
      </c>
      <c r="D218" s="263">
        <v>0</v>
      </c>
      <c r="E218" s="263">
        <v>0</v>
      </c>
      <c r="F218" s="190" t="str">
        <f t="shared" si="3"/>
        <v>-</v>
      </c>
    </row>
    <row r="219" spans="1:6" customFormat="1" ht="24" customHeight="1" x14ac:dyDescent="0.2">
      <c r="A219" s="189" t="s">
        <v>482</v>
      </c>
      <c r="B219" s="150" t="s">
        <v>483</v>
      </c>
      <c r="C219" s="44" t="s">
        <v>482</v>
      </c>
      <c r="D219" s="262">
        <f>SUM(D220:D222)</f>
        <v>0</v>
      </c>
      <c r="E219" s="262">
        <f>SUM(E220:E222)</f>
        <v>0</v>
      </c>
      <c r="F219" s="190" t="str">
        <f t="shared" si="3"/>
        <v>-</v>
      </c>
    </row>
    <row r="220" spans="1:6" customFormat="1" ht="12.75" customHeight="1" x14ac:dyDescent="0.2">
      <c r="A220" s="189" t="s">
        <v>484</v>
      </c>
      <c r="B220" s="150" t="s">
        <v>485</v>
      </c>
      <c r="C220" s="44" t="s">
        <v>484</v>
      </c>
      <c r="D220" s="263">
        <v>0</v>
      </c>
      <c r="E220" s="263">
        <v>0</v>
      </c>
      <c r="F220" s="190" t="str">
        <f t="shared" si="3"/>
        <v>-</v>
      </c>
    </row>
    <row r="221" spans="1:6" customFormat="1" ht="12.75" customHeight="1" x14ac:dyDescent="0.2">
      <c r="A221" s="189" t="s">
        <v>486</v>
      </c>
      <c r="B221" s="150" t="s">
        <v>487</v>
      </c>
      <c r="C221" s="44" t="s">
        <v>486</v>
      </c>
      <c r="D221" s="263">
        <v>0</v>
      </c>
      <c r="E221" s="263">
        <v>0</v>
      </c>
      <c r="F221" s="190" t="str">
        <f t="shared" si="3"/>
        <v>-</v>
      </c>
    </row>
    <row r="222" spans="1:6" customFormat="1" ht="12.75" customHeight="1" x14ac:dyDescent="0.2">
      <c r="A222" s="189" t="s">
        <v>488</v>
      </c>
      <c r="B222" s="150" t="s">
        <v>489</v>
      </c>
      <c r="C222" s="44" t="s">
        <v>488</v>
      </c>
      <c r="D222" s="263">
        <v>0</v>
      </c>
      <c r="E222" s="263">
        <v>0</v>
      </c>
      <c r="F222" s="190" t="str">
        <f t="shared" si="3"/>
        <v>-</v>
      </c>
    </row>
    <row r="223" spans="1:6" customFormat="1" ht="24" customHeight="1" x14ac:dyDescent="0.2">
      <c r="A223" s="189" t="s">
        <v>490</v>
      </c>
      <c r="B223" s="150" t="s">
        <v>491</v>
      </c>
      <c r="C223" s="44" t="s">
        <v>490</v>
      </c>
      <c r="D223" s="263">
        <v>0</v>
      </c>
      <c r="E223" s="263">
        <v>0</v>
      </c>
      <c r="F223" s="190" t="str">
        <f t="shared" si="3"/>
        <v>-</v>
      </c>
    </row>
    <row r="224" spans="1:6" customFormat="1" ht="24" customHeight="1" x14ac:dyDescent="0.2">
      <c r="A224" s="189" t="s">
        <v>492</v>
      </c>
      <c r="B224" s="150" t="s">
        <v>493</v>
      </c>
      <c r="C224" s="44" t="s">
        <v>492</v>
      </c>
      <c r="D224" s="262">
        <f>D225+D228+D231+D236+D240+D244+D247</f>
        <v>36663.1</v>
      </c>
      <c r="E224" s="262">
        <f>E225+E228+E231+E236+E240+E244+E247</f>
        <v>52207.61</v>
      </c>
      <c r="F224" s="190">
        <f t="shared" si="3"/>
        <v>142.39824237448553</v>
      </c>
    </row>
    <row r="225" spans="1:6" customFormat="1" ht="12.75" customHeight="1" x14ac:dyDescent="0.2">
      <c r="A225" s="189" t="s">
        <v>494</v>
      </c>
      <c r="B225" s="150" t="s">
        <v>495</v>
      </c>
      <c r="C225" s="44" t="s">
        <v>494</v>
      </c>
      <c r="D225" s="262">
        <f>SUM(D226:D227)</f>
        <v>0</v>
      </c>
      <c r="E225" s="262">
        <f>SUM(E226:E227)</f>
        <v>0</v>
      </c>
      <c r="F225" s="190" t="str">
        <f t="shared" si="3"/>
        <v>-</v>
      </c>
    </row>
    <row r="226" spans="1:6" customFormat="1" ht="12.75" customHeight="1" x14ac:dyDescent="0.2">
      <c r="A226" s="189" t="s">
        <v>496</v>
      </c>
      <c r="B226" s="150" t="s">
        <v>497</v>
      </c>
      <c r="C226" s="44" t="s">
        <v>496</v>
      </c>
      <c r="D226" s="263">
        <v>0</v>
      </c>
      <c r="E226" s="263">
        <v>0</v>
      </c>
      <c r="F226" s="190" t="str">
        <f t="shared" si="3"/>
        <v>-</v>
      </c>
    </row>
    <row r="227" spans="1:6" customFormat="1" ht="12.75" customHeight="1" x14ac:dyDescent="0.2">
      <c r="A227" s="189" t="s">
        <v>498</v>
      </c>
      <c r="B227" s="150" t="s">
        <v>499</v>
      </c>
      <c r="C227" s="44" t="s">
        <v>498</v>
      </c>
      <c r="D227" s="263">
        <v>0</v>
      </c>
      <c r="E227" s="263">
        <v>0</v>
      </c>
      <c r="F227" s="190" t="str">
        <f t="shared" si="3"/>
        <v>-</v>
      </c>
    </row>
    <row r="228" spans="1:6" customFormat="1" ht="24" customHeight="1" x14ac:dyDescent="0.2">
      <c r="A228" s="189" t="s">
        <v>500</v>
      </c>
      <c r="B228" s="150" t="s">
        <v>501</v>
      </c>
      <c r="C228" s="44" t="s">
        <v>500</v>
      </c>
      <c r="D228" s="262">
        <f>SUM(D229:D230)</f>
        <v>0</v>
      </c>
      <c r="E228" s="262">
        <f>SUM(E229:E230)</f>
        <v>0</v>
      </c>
      <c r="F228" s="190" t="str">
        <f t="shared" si="3"/>
        <v>-</v>
      </c>
    </row>
    <row r="229" spans="1:6" customFormat="1" ht="12.75" customHeight="1" x14ac:dyDescent="0.2">
      <c r="A229" s="189" t="s">
        <v>502</v>
      </c>
      <c r="B229" s="150" t="s">
        <v>503</v>
      </c>
      <c r="C229" s="44" t="s">
        <v>502</v>
      </c>
      <c r="D229" s="263">
        <v>0</v>
      </c>
      <c r="E229" s="263">
        <v>0</v>
      </c>
      <c r="F229" s="190" t="str">
        <f t="shared" si="3"/>
        <v>-</v>
      </c>
    </row>
    <row r="230" spans="1:6" customFormat="1" ht="24" customHeight="1" x14ac:dyDescent="0.2">
      <c r="A230" s="189" t="s">
        <v>504</v>
      </c>
      <c r="B230" s="150" t="s">
        <v>505</v>
      </c>
      <c r="C230" s="44" t="s">
        <v>504</v>
      </c>
      <c r="D230" s="263">
        <v>0</v>
      </c>
      <c r="E230" s="263">
        <v>0</v>
      </c>
      <c r="F230" s="190" t="str">
        <f t="shared" si="3"/>
        <v>-</v>
      </c>
    </row>
    <row r="231" spans="1:6" customFormat="1" ht="12.75" customHeight="1" x14ac:dyDescent="0.2">
      <c r="A231" s="189" t="s">
        <v>506</v>
      </c>
      <c r="B231" s="196" t="s">
        <v>507</v>
      </c>
      <c r="C231" s="44" t="s">
        <v>506</v>
      </c>
      <c r="D231" s="262">
        <f>SUM(D232:D235)</f>
        <v>29698.91</v>
      </c>
      <c r="E231" s="262">
        <f>SUM(E232:E235)</f>
        <v>44622.05</v>
      </c>
      <c r="F231" s="190">
        <f t="shared" si="3"/>
        <v>150.24810674869886</v>
      </c>
    </row>
    <row r="232" spans="1:6" customFormat="1" ht="12.75" customHeight="1" x14ac:dyDescent="0.2">
      <c r="A232" s="189" t="s">
        <v>508</v>
      </c>
      <c r="B232" s="150" t="s">
        <v>509</v>
      </c>
      <c r="C232" s="44" t="s">
        <v>508</v>
      </c>
      <c r="D232" s="263">
        <v>29698.91</v>
      </c>
      <c r="E232" s="263">
        <v>44622.05</v>
      </c>
      <c r="F232" s="190">
        <f t="shared" si="3"/>
        <v>150.24810674869886</v>
      </c>
    </row>
    <row r="233" spans="1:6" customFormat="1" ht="12.75" customHeight="1" x14ac:dyDescent="0.2">
      <c r="A233" s="189" t="s">
        <v>510</v>
      </c>
      <c r="B233" s="150" t="s">
        <v>511</v>
      </c>
      <c r="C233" s="44" t="s">
        <v>510</v>
      </c>
      <c r="D233" s="263">
        <v>0</v>
      </c>
      <c r="E233" s="263">
        <v>0</v>
      </c>
      <c r="F233" s="190" t="str">
        <f t="shared" si="3"/>
        <v>-</v>
      </c>
    </row>
    <row r="234" spans="1:6" customFormat="1" ht="12.75" customHeight="1" x14ac:dyDescent="0.2">
      <c r="A234" s="189" t="s">
        <v>512</v>
      </c>
      <c r="B234" s="150" t="s">
        <v>513</v>
      </c>
      <c r="C234" s="44" t="s">
        <v>512</v>
      </c>
      <c r="D234" s="263">
        <v>0</v>
      </c>
      <c r="E234" s="263">
        <v>0</v>
      </c>
      <c r="F234" s="190" t="str">
        <f t="shared" si="3"/>
        <v>-</v>
      </c>
    </row>
    <row r="235" spans="1:6" customFormat="1" ht="24" customHeight="1" x14ac:dyDescent="0.2">
      <c r="A235" s="189" t="s">
        <v>514</v>
      </c>
      <c r="B235" s="150" t="s">
        <v>515</v>
      </c>
      <c r="C235" s="44" t="s">
        <v>514</v>
      </c>
      <c r="D235" s="263">
        <v>0</v>
      </c>
      <c r="E235" s="263">
        <v>0</v>
      </c>
      <c r="F235" s="190" t="str">
        <f t="shared" si="3"/>
        <v>-</v>
      </c>
    </row>
    <row r="236" spans="1:6" customFormat="1" ht="12.75" customHeight="1" x14ac:dyDescent="0.2">
      <c r="A236" s="189" t="s">
        <v>516</v>
      </c>
      <c r="B236" s="196" t="s">
        <v>517</v>
      </c>
      <c r="C236" s="44" t="s">
        <v>516</v>
      </c>
      <c r="D236" s="262">
        <f>SUM(D237:D239)</f>
        <v>6964.19</v>
      </c>
      <c r="E236" s="262">
        <f>SUM(E237:E239)</f>
        <v>7585.56</v>
      </c>
      <c r="F236" s="190">
        <f t="shared" si="3"/>
        <v>108.92235852267098</v>
      </c>
    </row>
    <row r="237" spans="1:6" customFormat="1" ht="12.75" customHeight="1" x14ac:dyDescent="0.2">
      <c r="A237" s="189" t="s">
        <v>518</v>
      </c>
      <c r="B237" s="150" t="s">
        <v>519</v>
      </c>
      <c r="C237" s="44" t="s">
        <v>518</v>
      </c>
      <c r="D237" s="263">
        <v>6964.19</v>
      </c>
      <c r="E237" s="263">
        <v>7585.56</v>
      </c>
      <c r="F237" s="190">
        <f t="shared" si="3"/>
        <v>108.92235852267098</v>
      </c>
    </row>
    <row r="238" spans="1:6" customFormat="1" ht="12.75" customHeight="1" x14ac:dyDescent="0.2">
      <c r="A238" s="189" t="s">
        <v>520</v>
      </c>
      <c r="B238" s="150" t="s">
        <v>521</v>
      </c>
      <c r="C238" s="44" t="s">
        <v>520</v>
      </c>
      <c r="D238" s="263">
        <v>0</v>
      </c>
      <c r="E238" s="263">
        <v>0</v>
      </c>
      <c r="F238" s="190" t="str">
        <f t="shared" si="3"/>
        <v>-</v>
      </c>
    </row>
    <row r="239" spans="1:6" customFormat="1" ht="12.75" customHeight="1" x14ac:dyDescent="0.2">
      <c r="A239" s="189" t="s">
        <v>522</v>
      </c>
      <c r="B239" s="150" t="s">
        <v>523</v>
      </c>
      <c r="C239" s="44" t="s">
        <v>522</v>
      </c>
      <c r="D239" s="263">
        <v>0</v>
      </c>
      <c r="E239" s="263">
        <v>0</v>
      </c>
      <c r="F239" s="190" t="str">
        <f t="shared" si="3"/>
        <v>-</v>
      </c>
    </row>
    <row r="240" spans="1:6" customFormat="1" ht="24" customHeight="1" x14ac:dyDescent="0.2">
      <c r="A240" s="189" t="s">
        <v>524</v>
      </c>
      <c r="B240" s="150" t="s">
        <v>525</v>
      </c>
      <c r="C240" s="44" t="s">
        <v>524</v>
      </c>
      <c r="D240" s="262">
        <f>SUM(D241:D243)</f>
        <v>0</v>
      </c>
      <c r="E240" s="262">
        <f>SUM(E241:E243)</f>
        <v>0</v>
      </c>
      <c r="F240" s="190" t="str">
        <f t="shared" si="3"/>
        <v>-</v>
      </c>
    </row>
    <row r="241" spans="1:6" customFormat="1" ht="24" customHeight="1" x14ac:dyDescent="0.2">
      <c r="A241" s="189" t="s">
        <v>526</v>
      </c>
      <c r="B241" s="150" t="s">
        <v>527</v>
      </c>
      <c r="C241" s="44" t="s">
        <v>526</v>
      </c>
      <c r="D241" s="263">
        <v>0</v>
      </c>
      <c r="E241" s="263">
        <v>0</v>
      </c>
      <c r="F241" s="190" t="str">
        <f t="shared" si="3"/>
        <v>-</v>
      </c>
    </row>
    <row r="242" spans="1:6" customFormat="1" ht="24" customHeight="1" x14ac:dyDescent="0.2">
      <c r="A242" s="189" t="s">
        <v>528</v>
      </c>
      <c r="B242" s="150" t="s">
        <v>529</v>
      </c>
      <c r="C242" s="44" t="s">
        <v>528</v>
      </c>
      <c r="D242" s="263">
        <v>0</v>
      </c>
      <c r="E242" s="263">
        <v>0</v>
      </c>
      <c r="F242" s="190" t="str">
        <f t="shared" si="3"/>
        <v>-</v>
      </c>
    </row>
    <row r="243" spans="1:6" customFormat="1" ht="24" customHeight="1" x14ac:dyDescent="0.2">
      <c r="A243" s="189" t="s">
        <v>530</v>
      </c>
      <c r="B243" s="150" t="s">
        <v>531</v>
      </c>
      <c r="C243" s="44" t="s">
        <v>530</v>
      </c>
      <c r="D243" s="263">
        <v>0</v>
      </c>
      <c r="E243" s="263">
        <v>0</v>
      </c>
      <c r="F243" s="190" t="str">
        <f t="shared" si="3"/>
        <v>-</v>
      </c>
    </row>
    <row r="244" spans="1:6" customFormat="1" ht="12.75" customHeight="1" x14ac:dyDescent="0.2">
      <c r="A244" s="189" t="s">
        <v>532</v>
      </c>
      <c r="B244" s="150" t="s">
        <v>533</v>
      </c>
      <c r="C244" s="44" t="s">
        <v>532</v>
      </c>
      <c r="D244" s="262">
        <f>SUM(D245:D246)</f>
        <v>0</v>
      </c>
      <c r="E244" s="262">
        <f>SUM(E245:E246)</f>
        <v>0</v>
      </c>
      <c r="F244" s="190" t="str">
        <f t="shared" si="3"/>
        <v>-</v>
      </c>
    </row>
    <row r="245" spans="1:6" customFormat="1" ht="12.75" customHeight="1" x14ac:dyDescent="0.2">
      <c r="A245" s="189" t="s">
        <v>534</v>
      </c>
      <c r="B245" s="150" t="s">
        <v>535</v>
      </c>
      <c r="C245" s="44" t="s">
        <v>534</v>
      </c>
      <c r="D245" s="263">
        <v>0</v>
      </c>
      <c r="E245" s="263">
        <v>0</v>
      </c>
      <c r="F245" s="190" t="str">
        <f t="shared" si="3"/>
        <v>-</v>
      </c>
    </row>
    <row r="246" spans="1:6" customFormat="1" ht="12.75" customHeight="1" x14ac:dyDescent="0.2">
      <c r="A246" s="189" t="s">
        <v>536</v>
      </c>
      <c r="B246" s="150" t="s">
        <v>537</v>
      </c>
      <c r="C246" s="44" t="s">
        <v>536</v>
      </c>
      <c r="D246" s="263">
        <v>0</v>
      </c>
      <c r="E246" s="263">
        <v>0</v>
      </c>
      <c r="F246" s="190" t="str">
        <f t="shared" si="3"/>
        <v>-</v>
      </c>
    </row>
    <row r="247" spans="1:6" customFormat="1" ht="24" customHeight="1" x14ac:dyDescent="0.2">
      <c r="A247" s="189" t="s">
        <v>538</v>
      </c>
      <c r="B247" s="150" t="s">
        <v>539</v>
      </c>
      <c r="C247" s="44" t="s">
        <v>538</v>
      </c>
      <c r="D247" s="262">
        <f>SUM(D248:D251)</f>
        <v>0</v>
      </c>
      <c r="E247" s="262">
        <f>SUM(E248:E251)</f>
        <v>0</v>
      </c>
      <c r="F247" s="190" t="str">
        <f t="shared" si="3"/>
        <v>-</v>
      </c>
    </row>
    <row r="248" spans="1:6" customFormat="1" ht="12.75" customHeight="1" x14ac:dyDescent="0.2">
      <c r="A248" s="189" t="s">
        <v>540</v>
      </c>
      <c r="B248" s="150" t="s">
        <v>203</v>
      </c>
      <c r="C248" s="44" t="s">
        <v>540</v>
      </c>
      <c r="D248" s="263">
        <v>0</v>
      </c>
      <c r="E248" s="263">
        <v>0</v>
      </c>
      <c r="F248" s="190" t="str">
        <f t="shared" si="3"/>
        <v>-</v>
      </c>
    </row>
    <row r="249" spans="1:6" customFormat="1" ht="12.75" customHeight="1" x14ac:dyDescent="0.2">
      <c r="A249" s="189" t="s">
        <v>541</v>
      </c>
      <c r="B249" s="150" t="s">
        <v>205</v>
      </c>
      <c r="C249" s="44" t="s">
        <v>541</v>
      </c>
      <c r="D249" s="263">
        <v>0</v>
      </c>
      <c r="E249" s="263">
        <v>0</v>
      </c>
      <c r="F249" s="190" t="str">
        <f t="shared" si="3"/>
        <v>-</v>
      </c>
    </row>
    <row r="250" spans="1:6" customFormat="1" ht="24" customHeight="1" x14ac:dyDescent="0.2">
      <c r="A250" s="189" t="s">
        <v>542</v>
      </c>
      <c r="B250" s="150" t="s">
        <v>207</v>
      </c>
      <c r="C250" s="44" t="s">
        <v>542</v>
      </c>
      <c r="D250" s="263">
        <v>0</v>
      </c>
      <c r="E250" s="263">
        <v>0</v>
      </c>
      <c r="F250" s="190" t="str">
        <f t="shared" si="3"/>
        <v>-</v>
      </c>
    </row>
    <row r="251" spans="1:6" customFormat="1" ht="24" customHeight="1" x14ac:dyDescent="0.2">
      <c r="A251" s="189" t="s">
        <v>543</v>
      </c>
      <c r="B251" s="150" t="s">
        <v>209</v>
      </c>
      <c r="C251" s="44" t="s">
        <v>543</v>
      </c>
      <c r="D251" s="263">
        <v>0</v>
      </c>
      <c r="E251" s="263">
        <v>0</v>
      </c>
      <c r="F251" s="190" t="str">
        <f t="shared" si="3"/>
        <v>-</v>
      </c>
    </row>
    <row r="252" spans="1:6" customFormat="1" ht="24" customHeight="1" x14ac:dyDescent="0.2">
      <c r="A252" s="189" t="s">
        <v>544</v>
      </c>
      <c r="B252" s="150" t="s">
        <v>545</v>
      </c>
      <c r="C252" s="44" t="s">
        <v>544</v>
      </c>
      <c r="D252" s="262">
        <f>D253+D259</f>
        <v>37459.440000000002</v>
      </c>
      <c r="E252" s="262">
        <f>E253+E259</f>
        <v>42012.22</v>
      </c>
      <c r="F252" s="190">
        <f t="shared" si="3"/>
        <v>112.1538923165963</v>
      </c>
    </row>
    <row r="253" spans="1:6" customFormat="1" ht="24" customHeight="1" x14ac:dyDescent="0.2">
      <c r="A253" s="189" t="s">
        <v>546</v>
      </c>
      <c r="B253" s="150" t="s">
        <v>547</v>
      </c>
      <c r="C253" s="44" t="s">
        <v>546</v>
      </c>
      <c r="D253" s="262">
        <f>SUM(D254:D258)</f>
        <v>0</v>
      </c>
      <c r="E253" s="262">
        <f>SUM(E254:E258)</f>
        <v>0</v>
      </c>
      <c r="F253" s="190" t="str">
        <f t="shared" si="3"/>
        <v>-</v>
      </c>
    </row>
    <row r="254" spans="1:6" customFormat="1" ht="24" customHeight="1" x14ac:dyDescent="0.2">
      <c r="A254" s="189" t="s">
        <v>548</v>
      </c>
      <c r="B254" s="150" t="s">
        <v>549</v>
      </c>
      <c r="C254" s="44" t="s">
        <v>548</v>
      </c>
      <c r="D254" s="263">
        <v>0</v>
      </c>
      <c r="E254" s="263">
        <v>0</v>
      </c>
      <c r="F254" s="190" t="str">
        <f t="shared" si="3"/>
        <v>-</v>
      </c>
    </row>
    <row r="255" spans="1:6" customFormat="1" ht="24" customHeight="1" x14ac:dyDescent="0.2">
      <c r="A255" s="189" t="s">
        <v>550</v>
      </c>
      <c r="B255" s="150" t="s">
        <v>551</v>
      </c>
      <c r="C255" s="44" t="s">
        <v>550</v>
      </c>
      <c r="D255" s="263">
        <v>0</v>
      </c>
      <c r="E255" s="263">
        <v>0</v>
      </c>
      <c r="F255" s="190" t="str">
        <f t="shared" si="3"/>
        <v>-</v>
      </c>
    </row>
    <row r="256" spans="1:6" customFormat="1" ht="24" customHeight="1" x14ac:dyDescent="0.2">
      <c r="A256" s="189" t="s">
        <v>552</v>
      </c>
      <c r="B256" s="150" t="s">
        <v>553</v>
      </c>
      <c r="C256" s="44" t="s">
        <v>552</v>
      </c>
      <c r="D256" s="263">
        <v>0</v>
      </c>
      <c r="E256" s="263">
        <v>0</v>
      </c>
      <c r="F256" s="190" t="str">
        <f t="shared" si="3"/>
        <v>-</v>
      </c>
    </row>
    <row r="257" spans="1:6" customFormat="1" ht="24" customHeight="1" x14ac:dyDescent="0.2">
      <c r="A257" s="189" t="s">
        <v>554</v>
      </c>
      <c r="B257" s="150" t="s">
        <v>555</v>
      </c>
      <c r="C257" s="44" t="s">
        <v>554</v>
      </c>
      <c r="D257" s="263">
        <v>0</v>
      </c>
      <c r="E257" s="263">
        <v>0</v>
      </c>
      <c r="F257" s="190" t="str">
        <f t="shared" si="3"/>
        <v>-</v>
      </c>
    </row>
    <row r="258" spans="1:6" customFormat="1" ht="12.75" customHeight="1" x14ac:dyDescent="0.2">
      <c r="A258" s="189" t="s">
        <v>556</v>
      </c>
      <c r="B258" s="150" t="s">
        <v>557</v>
      </c>
      <c r="C258" s="44" t="s">
        <v>556</v>
      </c>
      <c r="D258" s="263">
        <v>0</v>
      </c>
      <c r="E258" s="263">
        <v>0</v>
      </c>
      <c r="F258" s="190" t="str">
        <f t="shared" si="3"/>
        <v>-</v>
      </c>
    </row>
    <row r="259" spans="1:6" customFormat="1" ht="12.75" customHeight="1" x14ac:dyDescent="0.2">
      <c r="A259" s="189" t="s">
        <v>558</v>
      </c>
      <c r="B259" s="195" t="s">
        <v>559</v>
      </c>
      <c r="C259" s="44" t="s">
        <v>558</v>
      </c>
      <c r="D259" s="262">
        <f>SUM(D260:D262)</f>
        <v>37459.440000000002</v>
      </c>
      <c r="E259" s="262">
        <f>SUM(E260:E262)</f>
        <v>42012.22</v>
      </c>
      <c r="F259" s="190">
        <f t="shared" si="3"/>
        <v>112.1538923165963</v>
      </c>
    </row>
    <row r="260" spans="1:6" customFormat="1" ht="12.75" customHeight="1" x14ac:dyDescent="0.2">
      <c r="A260" s="189" t="s">
        <v>560</v>
      </c>
      <c r="B260" s="150" t="s">
        <v>561</v>
      </c>
      <c r="C260" s="44" t="s">
        <v>560</v>
      </c>
      <c r="D260" s="263">
        <v>15080</v>
      </c>
      <c r="E260" s="263">
        <v>21310</v>
      </c>
      <c r="F260" s="190">
        <f t="shared" si="3"/>
        <v>141.31299734748012</v>
      </c>
    </row>
    <row r="261" spans="1:6" customFormat="1" ht="12.75" customHeight="1" x14ac:dyDescent="0.2">
      <c r="A261" s="189" t="s">
        <v>562</v>
      </c>
      <c r="B261" s="150" t="s">
        <v>563</v>
      </c>
      <c r="C261" s="44" t="s">
        <v>562</v>
      </c>
      <c r="D261" s="263">
        <v>22379.439999999999</v>
      </c>
      <c r="E261" s="263">
        <v>20702.22</v>
      </c>
      <c r="F261" s="190">
        <f t="shared" si="3"/>
        <v>92.505531863174426</v>
      </c>
    </row>
    <row r="262" spans="1:6" customFormat="1" ht="12.75" customHeight="1" x14ac:dyDescent="0.2">
      <c r="A262" s="189" t="s">
        <v>564</v>
      </c>
      <c r="B262" s="150" t="s">
        <v>565</v>
      </c>
      <c r="C262" s="44" t="s">
        <v>564</v>
      </c>
      <c r="D262" s="263">
        <v>0</v>
      </c>
      <c r="E262" s="263">
        <v>0</v>
      </c>
      <c r="F262" s="190" t="str">
        <f t="shared" ref="F262:F296" si="4">IF(D262&lt;&gt;0,IF(E262/D262&gt;=100,"&gt;&gt;100",E262/D262*100),"-")</f>
        <v>-</v>
      </c>
    </row>
    <row r="263" spans="1:6" customFormat="1" ht="12.75" customHeight="1" x14ac:dyDescent="0.2">
      <c r="A263" s="189" t="s">
        <v>566</v>
      </c>
      <c r="B263" s="150" t="s">
        <v>567</v>
      </c>
      <c r="C263" s="44" t="s">
        <v>566</v>
      </c>
      <c r="D263" s="262">
        <f>D264+D268+D273+D279</f>
        <v>47264.21</v>
      </c>
      <c r="E263" s="262">
        <f>E264+E268+E273+E279</f>
        <v>110479.69</v>
      </c>
      <c r="F263" s="190">
        <f t="shared" si="4"/>
        <v>233.74915184237716</v>
      </c>
    </row>
    <row r="264" spans="1:6" customFormat="1" ht="12.75" customHeight="1" x14ac:dyDescent="0.2">
      <c r="A264" s="189" t="s">
        <v>568</v>
      </c>
      <c r="B264" s="150" t="s">
        <v>569</v>
      </c>
      <c r="C264" s="44" t="s">
        <v>568</v>
      </c>
      <c r="D264" s="262">
        <f>SUM(D265:D267)</f>
        <v>42384.36</v>
      </c>
      <c r="E264" s="262">
        <f>SUM(E265:E267)</f>
        <v>50917.87</v>
      </c>
      <c r="F264" s="190">
        <f t="shared" si="4"/>
        <v>120.1336294803083</v>
      </c>
    </row>
    <row r="265" spans="1:6" customFormat="1" ht="12.75" customHeight="1" x14ac:dyDescent="0.2">
      <c r="A265" s="189" t="s">
        <v>570</v>
      </c>
      <c r="B265" s="150" t="s">
        <v>571</v>
      </c>
      <c r="C265" s="44" t="s">
        <v>570</v>
      </c>
      <c r="D265" s="263">
        <v>42384.36</v>
      </c>
      <c r="E265" s="263">
        <v>50917.87</v>
      </c>
      <c r="F265" s="190">
        <f t="shared" si="4"/>
        <v>120.1336294803083</v>
      </c>
    </row>
    <row r="266" spans="1:6" customFormat="1" ht="12.75" customHeight="1" x14ac:dyDescent="0.2">
      <c r="A266" s="189" t="s">
        <v>572</v>
      </c>
      <c r="B266" s="150" t="s">
        <v>573</v>
      </c>
      <c r="C266" s="44" t="s">
        <v>572</v>
      </c>
      <c r="D266" s="263">
        <v>0</v>
      </c>
      <c r="E266" s="263">
        <v>0</v>
      </c>
      <c r="F266" s="190" t="str">
        <f t="shared" si="4"/>
        <v>-</v>
      </c>
    </row>
    <row r="267" spans="1:6" customFormat="1" ht="12.75" customHeight="1" x14ac:dyDescent="0.2">
      <c r="A267" s="189" t="s">
        <v>574</v>
      </c>
      <c r="B267" s="150" t="s">
        <v>575</v>
      </c>
      <c r="C267" s="44" t="s">
        <v>574</v>
      </c>
      <c r="D267" s="263">
        <v>0</v>
      </c>
      <c r="E267" s="263">
        <v>0</v>
      </c>
      <c r="F267" s="190" t="str">
        <f t="shared" si="4"/>
        <v>-</v>
      </c>
    </row>
    <row r="268" spans="1:6" customFormat="1" ht="12.75" customHeight="1" x14ac:dyDescent="0.2">
      <c r="A268" s="189" t="s">
        <v>576</v>
      </c>
      <c r="B268" s="196" t="s">
        <v>577</v>
      </c>
      <c r="C268" s="44" t="s">
        <v>576</v>
      </c>
      <c r="D268" s="262">
        <f>SUM(D269:D272)</f>
        <v>3112.74</v>
      </c>
      <c r="E268" s="262">
        <f>SUM(E269:E272)</f>
        <v>51474.51</v>
      </c>
      <c r="F268" s="190">
        <f t="shared" si="4"/>
        <v>1653.6720060139942</v>
      </c>
    </row>
    <row r="269" spans="1:6" customFormat="1" ht="12.75" customHeight="1" x14ac:dyDescent="0.2">
      <c r="A269" s="189" t="s">
        <v>578</v>
      </c>
      <c r="B269" s="150" t="s">
        <v>579</v>
      </c>
      <c r="C269" s="44" t="s">
        <v>578</v>
      </c>
      <c r="D269" s="263">
        <v>3112.74</v>
      </c>
      <c r="E269" s="263">
        <v>51474.51</v>
      </c>
      <c r="F269" s="190">
        <f t="shared" si="4"/>
        <v>1653.6720060139942</v>
      </c>
    </row>
    <row r="270" spans="1:6" customFormat="1" ht="12.75" customHeight="1" x14ac:dyDescent="0.2">
      <c r="A270" s="189" t="s">
        <v>580</v>
      </c>
      <c r="B270" s="150" t="s">
        <v>581</v>
      </c>
      <c r="C270" s="44" t="s">
        <v>580</v>
      </c>
      <c r="D270" s="263">
        <v>0</v>
      </c>
      <c r="E270" s="263">
        <v>0</v>
      </c>
      <c r="F270" s="190" t="str">
        <f t="shared" si="4"/>
        <v>-</v>
      </c>
    </row>
    <row r="271" spans="1:6" customFormat="1" ht="12.75" customHeight="1" x14ac:dyDescent="0.2">
      <c r="A271" s="189" t="s">
        <v>582</v>
      </c>
      <c r="B271" s="150" t="s">
        <v>583</v>
      </c>
      <c r="C271" s="44" t="s">
        <v>582</v>
      </c>
      <c r="D271" s="263">
        <v>0</v>
      </c>
      <c r="E271" s="263">
        <v>0</v>
      </c>
      <c r="F271" s="190" t="str">
        <f t="shared" si="4"/>
        <v>-</v>
      </c>
    </row>
    <row r="272" spans="1:6" customFormat="1" ht="24" customHeight="1" x14ac:dyDescent="0.2">
      <c r="A272" s="189" t="s">
        <v>584</v>
      </c>
      <c r="B272" s="150" t="s">
        <v>585</v>
      </c>
      <c r="C272" s="44" t="s">
        <v>584</v>
      </c>
      <c r="D272" s="263">
        <v>0</v>
      </c>
      <c r="E272" s="263">
        <v>0</v>
      </c>
      <c r="F272" s="190" t="str">
        <f t="shared" si="4"/>
        <v>-</v>
      </c>
    </row>
    <row r="273" spans="1:6" customFormat="1" ht="12.75" customHeight="1" x14ac:dyDescent="0.2">
      <c r="A273" s="189" t="s">
        <v>586</v>
      </c>
      <c r="B273" s="150" t="s">
        <v>587</v>
      </c>
      <c r="C273" s="44" t="s">
        <v>586</v>
      </c>
      <c r="D273" s="262">
        <f>SUM(D274:D278)</f>
        <v>0</v>
      </c>
      <c r="E273" s="262">
        <f>SUM(E274:E278)</f>
        <v>0</v>
      </c>
      <c r="F273" s="190" t="str">
        <f t="shared" si="4"/>
        <v>-</v>
      </c>
    </row>
    <row r="274" spans="1:6" customFormat="1" ht="12.75" customHeight="1" x14ac:dyDescent="0.2">
      <c r="A274" s="189" t="s">
        <v>588</v>
      </c>
      <c r="B274" s="150" t="s">
        <v>589</v>
      </c>
      <c r="C274" s="44" t="s">
        <v>588</v>
      </c>
      <c r="D274" s="263">
        <v>0</v>
      </c>
      <c r="E274" s="263">
        <v>0</v>
      </c>
      <c r="F274" s="190" t="str">
        <f t="shared" si="4"/>
        <v>-</v>
      </c>
    </row>
    <row r="275" spans="1:6" customFormat="1" ht="12.75" customHeight="1" x14ac:dyDescent="0.2">
      <c r="A275" s="189" t="s">
        <v>590</v>
      </c>
      <c r="B275" s="150" t="s">
        <v>591</v>
      </c>
      <c r="C275" s="44" t="s">
        <v>590</v>
      </c>
      <c r="D275" s="263">
        <v>0</v>
      </c>
      <c r="E275" s="263">
        <v>0</v>
      </c>
      <c r="F275" s="190" t="str">
        <f t="shared" si="4"/>
        <v>-</v>
      </c>
    </row>
    <row r="276" spans="1:6" customFormat="1" ht="12.75" customHeight="1" x14ac:dyDescent="0.2">
      <c r="A276" s="189" t="s">
        <v>592</v>
      </c>
      <c r="B276" s="150" t="s">
        <v>593</v>
      </c>
      <c r="C276" s="44" t="s">
        <v>592</v>
      </c>
      <c r="D276" s="263">
        <v>0</v>
      </c>
      <c r="E276" s="263">
        <v>0</v>
      </c>
      <c r="F276" s="190" t="str">
        <f t="shared" si="4"/>
        <v>-</v>
      </c>
    </row>
    <row r="277" spans="1:6" customFormat="1" ht="12.75" customHeight="1" x14ac:dyDescent="0.2">
      <c r="A277" s="189" t="s">
        <v>594</v>
      </c>
      <c r="B277" s="150" t="s">
        <v>595</v>
      </c>
      <c r="C277" s="44" t="s">
        <v>594</v>
      </c>
      <c r="D277" s="263">
        <v>0</v>
      </c>
      <c r="E277" s="263">
        <v>0</v>
      </c>
      <c r="F277" s="190" t="str">
        <f t="shared" si="4"/>
        <v>-</v>
      </c>
    </row>
    <row r="278" spans="1:6" customFormat="1" ht="12.75" customHeight="1" x14ac:dyDescent="0.2">
      <c r="A278" s="189" t="s">
        <v>596</v>
      </c>
      <c r="B278" s="150" t="s">
        <v>345</v>
      </c>
      <c r="C278" s="44" t="s">
        <v>596</v>
      </c>
      <c r="D278" s="263">
        <v>0</v>
      </c>
      <c r="E278" s="263">
        <v>0</v>
      </c>
      <c r="F278" s="190" t="str">
        <f t="shared" si="4"/>
        <v>-</v>
      </c>
    </row>
    <row r="279" spans="1:6" customFormat="1" ht="12.75" customHeight="1" x14ac:dyDescent="0.2">
      <c r="A279" s="189" t="s">
        <v>597</v>
      </c>
      <c r="B279" s="196" t="s">
        <v>598</v>
      </c>
      <c r="C279" s="44" t="s">
        <v>597</v>
      </c>
      <c r="D279" s="262">
        <f>SUM(D280:D284)</f>
        <v>1767.11</v>
      </c>
      <c r="E279" s="262">
        <f>SUM(E280:E284)</f>
        <v>8087.31</v>
      </c>
      <c r="F279" s="190">
        <f t="shared" si="4"/>
        <v>457.65741804415126</v>
      </c>
    </row>
    <row r="280" spans="1:6" customFormat="1" ht="24" customHeight="1" x14ac:dyDescent="0.2">
      <c r="A280" s="189" t="s">
        <v>599</v>
      </c>
      <c r="B280" s="150" t="s">
        <v>600</v>
      </c>
      <c r="C280" s="44" t="s">
        <v>599</v>
      </c>
      <c r="D280" s="263">
        <v>1767.11</v>
      </c>
      <c r="E280" s="263">
        <v>8087.31</v>
      </c>
      <c r="F280" s="190">
        <f t="shared" si="4"/>
        <v>457.65741804415126</v>
      </c>
    </row>
    <row r="281" spans="1:6" customFormat="1" ht="24" customHeight="1" x14ac:dyDescent="0.2">
      <c r="A281" s="189" t="s">
        <v>601</v>
      </c>
      <c r="B281" s="150" t="s">
        <v>602</v>
      </c>
      <c r="C281" s="44" t="s">
        <v>601</v>
      </c>
      <c r="D281" s="263">
        <v>0</v>
      </c>
      <c r="E281" s="263">
        <v>0</v>
      </c>
      <c r="F281" s="190" t="str">
        <f t="shared" si="4"/>
        <v>-</v>
      </c>
    </row>
    <row r="282" spans="1:6" customFormat="1" ht="12.75" customHeight="1" x14ac:dyDescent="0.2">
      <c r="A282" s="189" t="s">
        <v>603</v>
      </c>
      <c r="B282" s="150" t="s">
        <v>604</v>
      </c>
      <c r="C282" s="44" t="s">
        <v>603</v>
      </c>
      <c r="D282" s="263">
        <v>0</v>
      </c>
      <c r="E282" s="263">
        <v>0</v>
      </c>
      <c r="F282" s="190" t="str">
        <f t="shared" si="4"/>
        <v>-</v>
      </c>
    </row>
    <row r="283" spans="1:6" customFormat="1" ht="12.75" customHeight="1" x14ac:dyDescent="0.2">
      <c r="A283" s="189" t="s">
        <v>605</v>
      </c>
      <c r="B283" s="150" t="s">
        <v>606</v>
      </c>
      <c r="C283" s="44" t="s">
        <v>605</v>
      </c>
      <c r="D283" s="263">
        <v>0</v>
      </c>
      <c r="E283" s="263">
        <v>0</v>
      </c>
      <c r="F283" s="190" t="str">
        <f t="shared" si="4"/>
        <v>-</v>
      </c>
    </row>
    <row r="284" spans="1:6" customFormat="1" ht="24" customHeight="1" x14ac:dyDescent="0.2">
      <c r="A284" s="189" t="s">
        <v>607</v>
      </c>
      <c r="B284" s="150" t="s">
        <v>608</v>
      </c>
      <c r="C284" s="44" t="s">
        <v>607</v>
      </c>
      <c r="D284" s="263">
        <v>0</v>
      </c>
      <c r="E284" s="263">
        <v>0</v>
      </c>
      <c r="F284" s="190" t="str">
        <f t="shared" si="4"/>
        <v>-</v>
      </c>
    </row>
    <row r="285" spans="1:6" customFormat="1" ht="12.75" customHeight="1" x14ac:dyDescent="0.2">
      <c r="A285" s="189"/>
      <c r="B285" s="150" t="s">
        <v>609</v>
      </c>
      <c r="C285" s="44" t="s">
        <v>610</v>
      </c>
      <c r="D285" s="263">
        <v>0</v>
      </c>
      <c r="E285" s="263">
        <v>0</v>
      </c>
      <c r="F285" s="190" t="str">
        <f t="shared" si="4"/>
        <v>-</v>
      </c>
    </row>
    <row r="286" spans="1:6" customFormat="1" ht="12.75" customHeight="1" x14ac:dyDescent="0.2">
      <c r="A286" s="189"/>
      <c r="B286" s="150" t="s">
        <v>611</v>
      </c>
      <c r="C286" s="44" t="s">
        <v>612</v>
      </c>
      <c r="D286" s="263">
        <v>0</v>
      </c>
      <c r="E286" s="263">
        <v>0</v>
      </c>
      <c r="F286" s="190" t="str">
        <f t="shared" si="4"/>
        <v>-</v>
      </c>
    </row>
    <row r="287" spans="1:6" customFormat="1" ht="12.75" customHeight="1" x14ac:dyDescent="0.2">
      <c r="A287" s="189"/>
      <c r="B287" s="150" t="s">
        <v>613</v>
      </c>
      <c r="C287" s="44" t="s">
        <v>614</v>
      </c>
      <c r="D287" s="262">
        <f>IF(D286&gt;=D285,D286-D285,0)</f>
        <v>0</v>
      </c>
      <c r="E287" s="262">
        <f>IF(E286&gt;=E285,E286-E285,0)</f>
        <v>0</v>
      </c>
      <c r="F287" s="190" t="str">
        <f t="shared" si="4"/>
        <v>-</v>
      </c>
    </row>
    <row r="288" spans="1:6" customFormat="1" ht="12.75" customHeight="1" x14ac:dyDescent="0.2">
      <c r="A288" s="189"/>
      <c r="B288" s="150" t="s">
        <v>615</v>
      </c>
      <c r="C288" s="44" t="s">
        <v>616</v>
      </c>
      <c r="D288" s="262">
        <f>IF(D285&gt;=D286,D285-D286,0)</f>
        <v>0</v>
      </c>
      <c r="E288" s="262">
        <f>IF(E285&gt;=E286,E285-E286,0)</f>
        <v>0</v>
      </c>
      <c r="F288" s="190" t="str">
        <f t="shared" si="4"/>
        <v>-</v>
      </c>
    </row>
    <row r="289" spans="1:6" customFormat="1" ht="12.75" customHeight="1" x14ac:dyDescent="0.2">
      <c r="A289" s="189"/>
      <c r="B289" s="150" t="s">
        <v>617</v>
      </c>
      <c r="C289" s="44" t="s">
        <v>618</v>
      </c>
      <c r="D289" s="262">
        <f>D151-D287+D288</f>
        <v>491820.43</v>
      </c>
      <c r="E289" s="262">
        <f>E151-E287+E288</f>
        <v>561636.31000000006</v>
      </c>
      <c r="F289" s="190">
        <f t="shared" si="4"/>
        <v>114.19540054486961</v>
      </c>
    </row>
    <row r="290" spans="1:6" customFormat="1" ht="12.75" customHeight="1" x14ac:dyDescent="0.2">
      <c r="A290" s="189"/>
      <c r="B290" s="150" t="s">
        <v>619</v>
      </c>
      <c r="C290" s="44" t="s">
        <v>620</v>
      </c>
      <c r="D290" s="262">
        <f>IF(D6&gt;=D289,D6-D289,0)</f>
        <v>325588.93</v>
      </c>
      <c r="E290" s="262">
        <f>IF(E6&gt;=E289,E6-E289,0)</f>
        <v>287879.8899999999</v>
      </c>
      <c r="F290" s="190">
        <f t="shared" si="4"/>
        <v>88.418205741822959</v>
      </c>
    </row>
    <row r="291" spans="1:6" customFormat="1" ht="12.75" customHeight="1" x14ac:dyDescent="0.2">
      <c r="A291" s="189"/>
      <c r="B291" s="150" t="s">
        <v>621</v>
      </c>
      <c r="C291" s="44" t="s">
        <v>622</v>
      </c>
      <c r="D291" s="262">
        <f>IF(D289&gt;=D6,D289-D6,0)</f>
        <v>0</v>
      </c>
      <c r="E291" s="262">
        <f>IF(E289&gt;=E6,E289-E6,0)</f>
        <v>0</v>
      </c>
      <c r="F291" s="190" t="str">
        <f t="shared" si="4"/>
        <v>-</v>
      </c>
    </row>
    <row r="292" spans="1:6" customFormat="1" ht="12.75" customHeight="1" x14ac:dyDescent="0.2">
      <c r="A292" s="189" t="s">
        <v>623</v>
      </c>
      <c r="B292" s="150" t="s">
        <v>624</v>
      </c>
      <c r="C292" s="44" t="s">
        <v>623</v>
      </c>
      <c r="D292" s="263">
        <v>346521.87</v>
      </c>
      <c r="E292" s="263">
        <v>548012.5</v>
      </c>
      <c r="F292" s="190">
        <f t="shared" si="4"/>
        <v>158.14658393711196</v>
      </c>
    </row>
    <row r="293" spans="1:6" customFormat="1" ht="12.75" customHeight="1" x14ac:dyDescent="0.2">
      <c r="A293" s="189" t="s">
        <v>625</v>
      </c>
      <c r="B293" s="150" t="s">
        <v>626</v>
      </c>
      <c r="C293" s="44" t="s">
        <v>625</v>
      </c>
      <c r="D293" s="263">
        <v>0</v>
      </c>
      <c r="E293" s="263">
        <v>0</v>
      </c>
      <c r="F293" s="190" t="str">
        <f t="shared" si="4"/>
        <v>-</v>
      </c>
    </row>
    <row r="294" spans="1:6" customFormat="1" ht="12.75" customHeight="1" x14ac:dyDescent="0.2">
      <c r="A294" s="189" t="s">
        <v>627</v>
      </c>
      <c r="B294" s="150" t="s">
        <v>628</v>
      </c>
      <c r="C294" s="44" t="s">
        <v>627</v>
      </c>
      <c r="D294" s="263">
        <v>10971.27</v>
      </c>
      <c r="E294" s="263">
        <v>12714.61</v>
      </c>
      <c r="F294" s="190">
        <f t="shared" si="4"/>
        <v>115.89004736917421</v>
      </c>
    </row>
    <row r="295" spans="1:6" customFormat="1" ht="24" customHeight="1" x14ac:dyDescent="0.2">
      <c r="A295" s="189" t="s">
        <v>629</v>
      </c>
      <c r="B295" s="150" t="s">
        <v>630</v>
      </c>
      <c r="C295" s="44" t="s">
        <v>629</v>
      </c>
      <c r="D295" s="263">
        <v>0</v>
      </c>
      <c r="E295" s="263">
        <v>0</v>
      </c>
      <c r="F295" s="190" t="str">
        <f t="shared" si="4"/>
        <v>-</v>
      </c>
    </row>
    <row r="296" spans="1:6" customFormat="1" ht="12.75" customHeight="1" x14ac:dyDescent="0.2">
      <c r="A296" s="198" t="s">
        <v>631</v>
      </c>
      <c r="B296" s="199" t="s">
        <v>632</v>
      </c>
      <c r="C296" s="45" t="s">
        <v>631</v>
      </c>
      <c r="D296" s="264">
        <v>0</v>
      </c>
      <c r="E296" s="264">
        <v>0</v>
      </c>
      <c r="F296" s="200" t="str">
        <f t="shared" si="4"/>
        <v>-</v>
      </c>
    </row>
    <row r="297" spans="1:6" s="50" customFormat="1" ht="20.100000000000001" customHeight="1" x14ac:dyDescent="0.2">
      <c r="A297" s="327" t="s">
        <v>633</v>
      </c>
      <c r="B297" s="328"/>
      <c r="C297" s="2"/>
      <c r="D297" s="265"/>
      <c r="E297" s="265"/>
      <c r="F297" s="194"/>
    </row>
    <row r="298" spans="1:6" customFormat="1" ht="12.75" customHeight="1" x14ac:dyDescent="0.2">
      <c r="A298" s="189" t="s">
        <v>634</v>
      </c>
      <c r="B298" s="150" t="s">
        <v>635</v>
      </c>
      <c r="C298" s="44" t="s">
        <v>634</v>
      </c>
      <c r="D298" s="262">
        <f>D299+D311+D344+D348</f>
        <v>1121.51</v>
      </c>
      <c r="E298" s="262">
        <f>E299+E311+E344+E348</f>
        <v>1121.51</v>
      </c>
      <c r="F298" s="190">
        <f t="shared" ref="F298:F329" si="5">IF(D298&lt;&gt;0,IF(E298/D298&gt;=100,"&gt;&gt;100",E298/D298*100),"-")</f>
        <v>100</v>
      </c>
    </row>
    <row r="299" spans="1:6" customFormat="1" ht="12.75" customHeight="1" x14ac:dyDescent="0.2">
      <c r="A299" s="189" t="s">
        <v>636</v>
      </c>
      <c r="B299" s="150" t="s">
        <v>637</v>
      </c>
      <c r="C299" s="44" t="s">
        <v>636</v>
      </c>
      <c r="D299" s="262">
        <f>D300+D304</f>
        <v>1121.51</v>
      </c>
      <c r="E299" s="262">
        <f>E300+E304</f>
        <v>1121.51</v>
      </c>
      <c r="F299" s="190">
        <f t="shared" si="5"/>
        <v>100</v>
      </c>
    </row>
    <row r="300" spans="1:6" customFormat="1" ht="24" customHeight="1" x14ac:dyDescent="0.2">
      <c r="A300" s="189" t="s">
        <v>638</v>
      </c>
      <c r="B300" s="150" t="s">
        <v>639</v>
      </c>
      <c r="C300" s="44" t="s">
        <v>638</v>
      </c>
      <c r="D300" s="262">
        <f>SUM(D301:D303)</f>
        <v>1121.51</v>
      </c>
      <c r="E300" s="262">
        <f>SUM(E301:E303)</f>
        <v>1121.51</v>
      </c>
      <c r="F300" s="190">
        <f t="shared" si="5"/>
        <v>100</v>
      </c>
    </row>
    <row r="301" spans="1:6" customFormat="1" ht="12.75" customHeight="1" x14ac:dyDescent="0.2">
      <c r="A301" s="189" t="s">
        <v>640</v>
      </c>
      <c r="B301" s="150" t="s">
        <v>641</v>
      </c>
      <c r="C301" s="44" t="s">
        <v>640</v>
      </c>
      <c r="D301" s="263">
        <v>1121.51</v>
      </c>
      <c r="E301" s="263">
        <v>1121.51</v>
      </c>
      <c r="F301" s="190">
        <f t="shared" si="5"/>
        <v>100</v>
      </c>
    </row>
    <row r="302" spans="1:6" customFormat="1" ht="12.75" customHeight="1" x14ac:dyDescent="0.2">
      <c r="A302" s="189" t="s">
        <v>642</v>
      </c>
      <c r="B302" s="150" t="s">
        <v>643</v>
      </c>
      <c r="C302" s="44" t="s">
        <v>642</v>
      </c>
      <c r="D302" s="263">
        <v>0</v>
      </c>
      <c r="E302" s="263">
        <v>0</v>
      </c>
      <c r="F302" s="190" t="str">
        <f t="shared" si="5"/>
        <v>-</v>
      </c>
    </row>
    <row r="303" spans="1:6" customFormat="1" ht="12.75" customHeight="1" x14ac:dyDescent="0.2">
      <c r="A303" s="189" t="s">
        <v>644</v>
      </c>
      <c r="B303" s="150" t="s">
        <v>645</v>
      </c>
      <c r="C303" s="44" t="s">
        <v>644</v>
      </c>
      <c r="D303" s="263">
        <v>0</v>
      </c>
      <c r="E303" s="263">
        <v>0</v>
      </c>
      <c r="F303" s="190" t="str">
        <f t="shared" si="5"/>
        <v>-</v>
      </c>
    </row>
    <row r="304" spans="1:6" customFormat="1" ht="12.75" customHeight="1" x14ac:dyDescent="0.2">
      <c r="A304" s="189" t="s">
        <v>646</v>
      </c>
      <c r="B304" s="150" t="s">
        <v>647</v>
      </c>
      <c r="C304" s="44" t="s">
        <v>646</v>
      </c>
      <c r="D304" s="262">
        <f>SUM(D305:D310)</f>
        <v>0</v>
      </c>
      <c r="E304" s="262">
        <f>SUM(E305:E310)</f>
        <v>0</v>
      </c>
      <c r="F304" s="190" t="str">
        <f t="shared" si="5"/>
        <v>-</v>
      </c>
    </row>
    <row r="305" spans="1:6" customFormat="1" ht="12.75" customHeight="1" x14ac:dyDescent="0.2">
      <c r="A305" s="189" t="s">
        <v>648</v>
      </c>
      <c r="B305" s="150" t="s">
        <v>649</v>
      </c>
      <c r="C305" s="44" t="s">
        <v>648</v>
      </c>
      <c r="D305" s="263">
        <v>0</v>
      </c>
      <c r="E305" s="263">
        <v>0</v>
      </c>
      <c r="F305" s="190" t="str">
        <f t="shared" si="5"/>
        <v>-</v>
      </c>
    </row>
    <row r="306" spans="1:6" customFormat="1" ht="12.75" customHeight="1" x14ac:dyDescent="0.2">
      <c r="A306" s="189" t="s">
        <v>650</v>
      </c>
      <c r="B306" s="150" t="s">
        <v>651</v>
      </c>
      <c r="C306" s="44" t="s">
        <v>650</v>
      </c>
      <c r="D306" s="263">
        <v>0</v>
      </c>
      <c r="E306" s="263">
        <v>0</v>
      </c>
      <c r="F306" s="190" t="str">
        <f t="shared" si="5"/>
        <v>-</v>
      </c>
    </row>
    <row r="307" spans="1:6" customFormat="1" ht="12.75" customHeight="1" x14ac:dyDescent="0.2">
      <c r="A307" s="189" t="s">
        <v>652</v>
      </c>
      <c r="B307" s="150" t="s">
        <v>653</v>
      </c>
      <c r="C307" s="44" t="s">
        <v>652</v>
      </c>
      <c r="D307" s="263">
        <v>0</v>
      </c>
      <c r="E307" s="263">
        <v>0</v>
      </c>
      <c r="F307" s="190" t="str">
        <f t="shared" si="5"/>
        <v>-</v>
      </c>
    </row>
    <row r="308" spans="1:6" customFormat="1" ht="12.75" customHeight="1" x14ac:dyDescent="0.2">
      <c r="A308" s="189" t="s">
        <v>654</v>
      </c>
      <c r="B308" s="150" t="s">
        <v>655</v>
      </c>
      <c r="C308" s="44" t="s">
        <v>654</v>
      </c>
      <c r="D308" s="263">
        <v>0</v>
      </c>
      <c r="E308" s="263">
        <v>0</v>
      </c>
      <c r="F308" s="190" t="str">
        <f t="shared" si="5"/>
        <v>-</v>
      </c>
    </row>
    <row r="309" spans="1:6" customFormat="1" ht="12.75" customHeight="1" x14ac:dyDescent="0.2">
      <c r="A309" s="189" t="s">
        <v>656</v>
      </c>
      <c r="B309" s="150" t="s">
        <v>657</v>
      </c>
      <c r="C309" s="44" t="s">
        <v>656</v>
      </c>
      <c r="D309" s="263">
        <v>0</v>
      </c>
      <c r="E309" s="263">
        <v>0</v>
      </c>
      <c r="F309" s="190" t="str">
        <f t="shared" si="5"/>
        <v>-</v>
      </c>
    </row>
    <row r="310" spans="1:6" customFormat="1" ht="12.75" customHeight="1" x14ac:dyDescent="0.2">
      <c r="A310" s="189" t="s">
        <v>658</v>
      </c>
      <c r="B310" s="150" t="s">
        <v>659</v>
      </c>
      <c r="C310" s="44" t="s">
        <v>658</v>
      </c>
      <c r="D310" s="263">
        <v>0</v>
      </c>
      <c r="E310" s="263">
        <v>0</v>
      </c>
      <c r="F310" s="190" t="str">
        <f t="shared" si="5"/>
        <v>-</v>
      </c>
    </row>
    <row r="311" spans="1:6" customFormat="1" ht="24" customHeight="1" x14ac:dyDescent="0.2">
      <c r="A311" s="189" t="s">
        <v>660</v>
      </c>
      <c r="B311" s="195" t="s">
        <v>661</v>
      </c>
      <c r="C311" s="44" t="s">
        <v>660</v>
      </c>
      <c r="D311" s="262">
        <f>D312+D317+D326+D331+D336+D339</f>
        <v>0</v>
      </c>
      <c r="E311" s="262">
        <f>E312+E317+E326+E331+E336+E339</f>
        <v>0</v>
      </c>
      <c r="F311" s="190" t="str">
        <f t="shared" si="5"/>
        <v>-</v>
      </c>
    </row>
    <row r="312" spans="1:6" customFormat="1" ht="12.75" customHeight="1" x14ac:dyDescent="0.2">
      <c r="A312" s="189" t="s">
        <v>662</v>
      </c>
      <c r="B312" s="150" t="s">
        <v>663</v>
      </c>
      <c r="C312" s="44" t="s">
        <v>662</v>
      </c>
      <c r="D312" s="262">
        <f>SUM(D313:D316)</f>
        <v>0</v>
      </c>
      <c r="E312" s="262">
        <f>SUM(E313:E316)</f>
        <v>0</v>
      </c>
      <c r="F312" s="190" t="str">
        <f t="shared" si="5"/>
        <v>-</v>
      </c>
    </row>
    <row r="313" spans="1:6" customFormat="1" ht="12.75" customHeight="1" x14ac:dyDescent="0.2">
      <c r="A313" s="189" t="s">
        <v>664</v>
      </c>
      <c r="B313" s="150" t="s">
        <v>665</v>
      </c>
      <c r="C313" s="44" t="s">
        <v>664</v>
      </c>
      <c r="D313" s="263">
        <v>0</v>
      </c>
      <c r="E313" s="263">
        <v>0</v>
      </c>
      <c r="F313" s="190" t="str">
        <f t="shared" si="5"/>
        <v>-</v>
      </c>
    </row>
    <row r="314" spans="1:6" customFormat="1" ht="12.75" customHeight="1" x14ac:dyDescent="0.2">
      <c r="A314" s="189" t="s">
        <v>666</v>
      </c>
      <c r="B314" s="150" t="s">
        <v>667</v>
      </c>
      <c r="C314" s="44" t="s">
        <v>666</v>
      </c>
      <c r="D314" s="263">
        <v>0</v>
      </c>
      <c r="E314" s="263">
        <v>0</v>
      </c>
      <c r="F314" s="190" t="str">
        <f t="shared" si="5"/>
        <v>-</v>
      </c>
    </row>
    <row r="315" spans="1:6" customFormat="1" ht="12.75" customHeight="1" x14ac:dyDescent="0.2">
      <c r="A315" s="189" t="s">
        <v>668</v>
      </c>
      <c r="B315" s="150" t="s">
        <v>669</v>
      </c>
      <c r="C315" s="44" t="s">
        <v>668</v>
      </c>
      <c r="D315" s="263">
        <v>0</v>
      </c>
      <c r="E315" s="263">
        <v>0</v>
      </c>
      <c r="F315" s="190" t="str">
        <f t="shared" si="5"/>
        <v>-</v>
      </c>
    </row>
    <row r="316" spans="1:6" customFormat="1" ht="12.75" customHeight="1" x14ac:dyDescent="0.2">
      <c r="A316" s="189" t="s">
        <v>670</v>
      </c>
      <c r="B316" s="150" t="s">
        <v>671</v>
      </c>
      <c r="C316" s="44" t="s">
        <v>670</v>
      </c>
      <c r="D316" s="263">
        <v>0</v>
      </c>
      <c r="E316" s="263">
        <v>0</v>
      </c>
      <c r="F316" s="190" t="str">
        <f t="shared" si="5"/>
        <v>-</v>
      </c>
    </row>
    <row r="317" spans="1:6" customFormat="1" ht="12.75" customHeight="1" x14ac:dyDescent="0.2">
      <c r="A317" s="189" t="s">
        <v>672</v>
      </c>
      <c r="B317" s="150" t="s">
        <v>673</v>
      </c>
      <c r="C317" s="44" t="s">
        <v>672</v>
      </c>
      <c r="D317" s="262">
        <f>SUM(D318:D325)</f>
        <v>0</v>
      </c>
      <c r="E317" s="262">
        <f>SUM(E318:E325)</f>
        <v>0</v>
      </c>
      <c r="F317" s="190" t="str">
        <f t="shared" si="5"/>
        <v>-</v>
      </c>
    </row>
    <row r="318" spans="1:6" customFormat="1" ht="12.75" customHeight="1" x14ac:dyDescent="0.2">
      <c r="A318" s="189" t="s">
        <v>674</v>
      </c>
      <c r="B318" s="150" t="s">
        <v>675</v>
      </c>
      <c r="C318" s="44" t="s">
        <v>674</v>
      </c>
      <c r="D318" s="263">
        <v>0</v>
      </c>
      <c r="E318" s="263">
        <v>0</v>
      </c>
      <c r="F318" s="190" t="str">
        <f t="shared" si="5"/>
        <v>-</v>
      </c>
    </row>
    <row r="319" spans="1:6" customFormat="1" ht="12.75" customHeight="1" x14ac:dyDescent="0.2">
      <c r="A319" s="189" t="s">
        <v>676</v>
      </c>
      <c r="B319" s="150" t="s">
        <v>677</v>
      </c>
      <c r="C319" s="44" t="s">
        <v>676</v>
      </c>
      <c r="D319" s="263">
        <v>0</v>
      </c>
      <c r="E319" s="263">
        <v>0</v>
      </c>
      <c r="F319" s="190" t="str">
        <f t="shared" si="5"/>
        <v>-</v>
      </c>
    </row>
    <row r="320" spans="1:6" customFormat="1" ht="12.75" customHeight="1" x14ac:dyDescent="0.2">
      <c r="A320" s="189" t="s">
        <v>678</v>
      </c>
      <c r="B320" s="150" t="s">
        <v>679</v>
      </c>
      <c r="C320" s="44" t="s">
        <v>678</v>
      </c>
      <c r="D320" s="263">
        <v>0</v>
      </c>
      <c r="E320" s="263">
        <v>0</v>
      </c>
      <c r="F320" s="190" t="str">
        <f t="shared" si="5"/>
        <v>-</v>
      </c>
    </row>
    <row r="321" spans="1:6" customFormat="1" ht="12.75" customHeight="1" x14ac:dyDescent="0.2">
      <c r="A321" s="189" t="s">
        <v>680</v>
      </c>
      <c r="B321" s="150" t="s">
        <v>681</v>
      </c>
      <c r="C321" s="44" t="s">
        <v>680</v>
      </c>
      <c r="D321" s="263">
        <v>0</v>
      </c>
      <c r="E321" s="263">
        <v>0</v>
      </c>
      <c r="F321" s="190" t="str">
        <f t="shared" si="5"/>
        <v>-</v>
      </c>
    </row>
    <row r="322" spans="1:6" customFormat="1" ht="12.75" customHeight="1" x14ac:dyDescent="0.2">
      <c r="A322" s="189" t="s">
        <v>682</v>
      </c>
      <c r="B322" s="150" t="s">
        <v>683</v>
      </c>
      <c r="C322" s="44" t="s">
        <v>682</v>
      </c>
      <c r="D322" s="263">
        <v>0</v>
      </c>
      <c r="E322" s="263">
        <v>0</v>
      </c>
      <c r="F322" s="190" t="str">
        <f t="shared" si="5"/>
        <v>-</v>
      </c>
    </row>
    <row r="323" spans="1:6" customFormat="1" ht="12.75" customHeight="1" x14ac:dyDescent="0.2">
      <c r="A323" s="189" t="s">
        <v>684</v>
      </c>
      <c r="B323" s="150" t="s">
        <v>685</v>
      </c>
      <c r="C323" s="44" t="s">
        <v>684</v>
      </c>
      <c r="D323" s="263">
        <v>0</v>
      </c>
      <c r="E323" s="263">
        <v>0</v>
      </c>
      <c r="F323" s="190" t="str">
        <f t="shared" si="5"/>
        <v>-</v>
      </c>
    </row>
    <row r="324" spans="1:6" customFormat="1" ht="12.75" customHeight="1" x14ac:dyDescent="0.2">
      <c r="A324" s="189" t="s">
        <v>686</v>
      </c>
      <c r="B324" s="150" t="s">
        <v>687</v>
      </c>
      <c r="C324" s="44" t="s">
        <v>686</v>
      </c>
      <c r="D324" s="263">
        <v>0</v>
      </c>
      <c r="E324" s="263">
        <v>0</v>
      </c>
      <c r="F324" s="190" t="str">
        <f t="shared" si="5"/>
        <v>-</v>
      </c>
    </row>
    <row r="325" spans="1:6" customFormat="1" ht="12.75" customHeight="1" x14ac:dyDescent="0.2">
      <c r="A325" s="189" t="s">
        <v>688</v>
      </c>
      <c r="B325" s="150" t="s">
        <v>689</v>
      </c>
      <c r="C325" s="44" t="s">
        <v>688</v>
      </c>
      <c r="D325" s="263">
        <v>0</v>
      </c>
      <c r="E325" s="263">
        <v>0</v>
      </c>
      <c r="F325" s="190" t="str">
        <f t="shared" si="5"/>
        <v>-</v>
      </c>
    </row>
    <row r="326" spans="1:6" customFormat="1" ht="12.75" customHeight="1" x14ac:dyDescent="0.2">
      <c r="A326" s="189" t="s">
        <v>690</v>
      </c>
      <c r="B326" s="195" t="s">
        <v>691</v>
      </c>
      <c r="C326" s="44" t="s">
        <v>690</v>
      </c>
      <c r="D326" s="262">
        <f>SUM(D327:D330)</f>
        <v>0</v>
      </c>
      <c r="E326" s="262">
        <f>SUM(E327:E330)</f>
        <v>0</v>
      </c>
      <c r="F326" s="190" t="str">
        <f t="shared" si="5"/>
        <v>-</v>
      </c>
    </row>
    <row r="327" spans="1:6" customFormat="1" ht="12.75" customHeight="1" x14ac:dyDescent="0.2">
      <c r="A327" s="189" t="s">
        <v>692</v>
      </c>
      <c r="B327" s="150" t="s">
        <v>693</v>
      </c>
      <c r="C327" s="44" t="s">
        <v>692</v>
      </c>
      <c r="D327" s="263">
        <v>0</v>
      </c>
      <c r="E327" s="263">
        <v>0</v>
      </c>
      <c r="F327" s="190" t="str">
        <f t="shared" si="5"/>
        <v>-</v>
      </c>
    </row>
    <row r="328" spans="1:6" customFormat="1" ht="12.75" customHeight="1" x14ac:dyDescent="0.2">
      <c r="A328" s="189" t="s">
        <v>694</v>
      </c>
      <c r="B328" s="150" t="s">
        <v>695</v>
      </c>
      <c r="C328" s="44" t="s">
        <v>694</v>
      </c>
      <c r="D328" s="263">
        <v>0</v>
      </c>
      <c r="E328" s="263">
        <v>0</v>
      </c>
      <c r="F328" s="190" t="str">
        <f t="shared" si="5"/>
        <v>-</v>
      </c>
    </row>
    <row r="329" spans="1:6" customFormat="1" ht="12.75" customHeight="1" x14ac:dyDescent="0.2">
      <c r="A329" s="189" t="s">
        <v>696</v>
      </c>
      <c r="B329" s="150" t="s">
        <v>697</v>
      </c>
      <c r="C329" s="44" t="s">
        <v>696</v>
      </c>
      <c r="D329" s="263">
        <v>0</v>
      </c>
      <c r="E329" s="263">
        <v>0</v>
      </c>
      <c r="F329" s="190" t="str">
        <f t="shared" si="5"/>
        <v>-</v>
      </c>
    </row>
    <row r="330" spans="1:6" customFormat="1" ht="12.75" customHeight="1" x14ac:dyDescent="0.2">
      <c r="A330" s="189" t="s">
        <v>698</v>
      </c>
      <c r="B330" s="195" t="s">
        <v>699</v>
      </c>
      <c r="C330" s="44" t="s">
        <v>698</v>
      </c>
      <c r="D330" s="263">
        <v>0</v>
      </c>
      <c r="E330" s="263">
        <v>0</v>
      </c>
      <c r="F330" s="190" t="str">
        <f t="shared" ref="F330:F361" si="6">IF(D330&lt;&gt;0,IF(E330/D330&gt;=100,"&gt;&gt;100",E330/D330*100),"-")</f>
        <v>-</v>
      </c>
    </row>
    <row r="331" spans="1:6" customFormat="1" ht="24" customHeight="1" x14ac:dyDescent="0.2">
      <c r="A331" s="189" t="s">
        <v>700</v>
      </c>
      <c r="B331" s="195" t="s">
        <v>701</v>
      </c>
      <c r="C331" s="44" t="s">
        <v>700</v>
      </c>
      <c r="D331" s="262">
        <f>SUM(D332:D335)</f>
        <v>0</v>
      </c>
      <c r="E331" s="262">
        <f>SUM(E332:E335)</f>
        <v>0</v>
      </c>
      <c r="F331" s="190" t="str">
        <f t="shared" si="6"/>
        <v>-</v>
      </c>
    </row>
    <row r="332" spans="1:6" customFormat="1" ht="12.75" customHeight="1" x14ac:dyDescent="0.2">
      <c r="A332" s="189" t="s">
        <v>702</v>
      </c>
      <c r="B332" s="150" t="s">
        <v>703</v>
      </c>
      <c r="C332" s="44" t="s">
        <v>702</v>
      </c>
      <c r="D332" s="263">
        <v>0</v>
      </c>
      <c r="E332" s="263">
        <v>0</v>
      </c>
      <c r="F332" s="190" t="str">
        <f t="shared" si="6"/>
        <v>-</v>
      </c>
    </row>
    <row r="333" spans="1:6" customFormat="1" ht="12.75" customHeight="1" x14ac:dyDescent="0.2">
      <c r="A333" s="189" t="s">
        <v>704</v>
      </c>
      <c r="B333" s="150" t="s">
        <v>705</v>
      </c>
      <c r="C333" s="44" t="s">
        <v>704</v>
      </c>
      <c r="D333" s="263">
        <v>0</v>
      </c>
      <c r="E333" s="263">
        <v>0</v>
      </c>
      <c r="F333" s="190" t="str">
        <f t="shared" si="6"/>
        <v>-</v>
      </c>
    </row>
    <row r="334" spans="1:6" customFormat="1" ht="12.75" customHeight="1" x14ac:dyDescent="0.2">
      <c r="A334" s="189" t="s">
        <v>706</v>
      </c>
      <c r="B334" s="150" t="s">
        <v>707</v>
      </c>
      <c r="C334" s="44" t="s">
        <v>706</v>
      </c>
      <c r="D334" s="263">
        <v>0</v>
      </c>
      <c r="E334" s="263">
        <v>0</v>
      </c>
      <c r="F334" s="190" t="str">
        <f t="shared" si="6"/>
        <v>-</v>
      </c>
    </row>
    <row r="335" spans="1:6" customFormat="1" ht="12.75" customHeight="1" x14ac:dyDescent="0.2">
      <c r="A335" s="189" t="s">
        <v>708</v>
      </c>
      <c r="B335" s="150" t="s">
        <v>709</v>
      </c>
      <c r="C335" s="44" t="s">
        <v>708</v>
      </c>
      <c r="D335" s="263">
        <v>0</v>
      </c>
      <c r="E335" s="263">
        <v>0</v>
      </c>
      <c r="F335" s="190" t="str">
        <f t="shared" si="6"/>
        <v>-</v>
      </c>
    </row>
    <row r="336" spans="1:6" customFormat="1" ht="12.75" customHeight="1" x14ac:dyDescent="0.2">
      <c r="A336" s="189" t="s">
        <v>710</v>
      </c>
      <c r="B336" s="150" t="s">
        <v>711</v>
      </c>
      <c r="C336" s="44" t="s">
        <v>710</v>
      </c>
      <c r="D336" s="262">
        <f>SUM(D337:D338)</f>
        <v>0</v>
      </c>
      <c r="E336" s="262">
        <f>SUM(E337:E338)</f>
        <v>0</v>
      </c>
      <c r="F336" s="190" t="str">
        <f t="shared" si="6"/>
        <v>-</v>
      </c>
    </row>
    <row r="337" spans="1:6" customFormat="1" ht="12.75" customHeight="1" x14ac:dyDescent="0.2">
      <c r="A337" s="189" t="s">
        <v>712</v>
      </c>
      <c r="B337" s="150" t="s">
        <v>713</v>
      </c>
      <c r="C337" s="44" t="s">
        <v>712</v>
      </c>
      <c r="D337" s="263">
        <v>0</v>
      </c>
      <c r="E337" s="263">
        <v>0</v>
      </c>
      <c r="F337" s="190" t="str">
        <f t="shared" si="6"/>
        <v>-</v>
      </c>
    </row>
    <row r="338" spans="1:6" customFormat="1" ht="12.75" customHeight="1" x14ac:dyDescent="0.2">
      <c r="A338" s="189" t="s">
        <v>714</v>
      </c>
      <c r="B338" s="150" t="s">
        <v>715</v>
      </c>
      <c r="C338" s="44" t="s">
        <v>714</v>
      </c>
      <c r="D338" s="263">
        <v>0</v>
      </c>
      <c r="E338" s="263">
        <v>0</v>
      </c>
      <c r="F338" s="190" t="str">
        <f t="shared" si="6"/>
        <v>-</v>
      </c>
    </row>
    <row r="339" spans="1:6" customFormat="1" ht="12.75" customHeight="1" x14ac:dyDescent="0.2">
      <c r="A339" s="189" t="s">
        <v>716</v>
      </c>
      <c r="B339" s="150" t="s">
        <v>717</v>
      </c>
      <c r="C339" s="44" t="s">
        <v>716</v>
      </c>
      <c r="D339" s="262">
        <f>SUM(D340:D343)</f>
        <v>0</v>
      </c>
      <c r="E339" s="262">
        <f>SUM(E340:E343)</f>
        <v>0</v>
      </c>
      <c r="F339" s="190" t="str">
        <f t="shared" si="6"/>
        <v>-</v>
      </c>
    </row>
    <row r="340" spans="1:6" customFormat="1" ht="12.75" customHeight="1" x14ac:dyDescent="0.2">
      <c r="A340" s="189" t="s">
        <v>718</v>
      </c>
      <c r="B340" s="150" t="s">
        <v>719</v>
      </c>
      <c r="C340" s="44" t="s">
        <v>718</v>
      </c>
      <c r="D340" s="263">
        <v>0</v>
      </c>
      <c r="E340" s="263">
        <v>0</v>
      </c>
      <c r="F340" s="190" t="str">
        <f t="shared" si="6"/>
        <v>-</v>
      </c>
    </row>
    <row r="341" spans="1:6" customFormat="1" ht="12.75" customHeight="1" x14ac:dyDescent="0.2">
      <c r="A341" s="189" t="s">
        <v>720</v>
      </c>
      <c r="B341" s="150" t="s">
        <v>721</v>
      </c>
      <c r="C341" s="44" t="s">
        <v>720</v>
      </c>
      <c r="D341" s="263">
        <v>0</v>
      </c>
      <c r="E341" s="263">
        <v>0</v>
      </c>
      <c r="F341" s="190" t="str">
        <f t="shared" si="6"/>
        <v>-</v>
      </c>
    </row>
    <row r="342" spans="1:6" customFormat="1" ht="12.75" customHeight="1" x14ac:dyDescent="0.2">
      <c r="A342" s="189" t="s">
        <v>722</v>
      </c>
      <c r="B342" s="150" t="s">
        <v>723</v>
      </c>
      <c r="C342" s="44" t="s">
        <v>722</v>
      </c>
      <c r="D342" s="263">
        <v>0</v>
      </c>
      <c r="E342" s="263">
        <v>0</v>
      </c>
      <c r="F342" s="190" t="str">
        <f t="shared" si="6"/>
        <v>-</v>
      </c>
    </row>
    <row r="343" spans="1:6" customFormat="1" ht="12.75" customHeight="1" x14ac:dyDescent="0.2">
      <c r="A343" s="189" t="s">
        <v>724</v>
      </c>
      <c r="B343" s="150" t="s">
        <v>725</v>
      </c>
      <c r="C343" s="44" t="s">
        <v>724</v>
      </c>
      <c r="D343" s="263">
        <v>0</v>
      </c>
      <c r="E343" s="263">
        <v>0</v>
      </c>
      <c r="F343" s="190" t="str">
        <f t="shared" si="6"/>
        <v>-</v>
      </c>
    </row>
    <row r="344" spans="1:6" customFormat="1" ht="24" customHeight="1" x14ac:dyDescent="0.2">
      <c r="A344" s="189" t="s">
        <v>726</v>
      </c>
      <c r="B344" s="150" t="s">
        <v>727</v>
      </c>
      <c r="C344" s="44" t="s">
        <v>726</v>
      </c>
      <c r="D344" s="262">
        <f>D345</f>
        <v>0</v>
      </c>
      <c r="E344" s="262">
        <f>E345</f>
        <v>0</v>
      </c>
      <c r="F344" s="190" t="str">
        <f t="shared" si="6"/>
        <v>-</v>
      </c>
    </row>
    <row r="345" spans="1:6" customFormat="1" ht="24" customHeight="1" x14ac:dyDescent="0.2">
      <c r="A345" s="189" t="s">
        <v>728</v>
      </c>
      <c r="B345" s="150" t="s">
        <v>729</v>
      </c>
      <c r="C345" s="44" t="s">
        <v>728</v>
      </c>
      <c r="D345" s="262">
        <f>SUM(D346:D347)</f>
        <v>0</v>
      </c>
      <c r="E345" s="262">
        <f>SUM(E346:E347)</f>
        <v>0</v>
      </c>
      <c r="F345" s="190" t="str">
        <f t="shared" si="6"/>
        <v>-</v>
      </c>
    </row>
    <row r="346" spans="1:6" customFormat="1" ht="12.75" customHeight="1" x14ac:dyDescent="0.2">
      <c r="A346" s="189" t="s">
        <v>730</v>
      </c>
      <c r="B346" s="150" t="s">
        <v>731</v>
      </c>
      <c r="C346" s="44" t="s">
        <v>730</v>
      </c>
      <c r="D346" s="263">
        <v>0</v>
      </c>
      <c r="E346" s="263">
        <v>0</v>
      </c>
      <c r="F346" s="190" t="str">
        <f t="shared" si="6"/>
        <v>-</v>
      </c>
    </row>
    <row r="347" spans="1:6" customFormat="1" ht="12.75" customHeight="1" x14ac:dyDescent="0.2">
      <c r="A347" s="189" t="s">
        <v>732</v>
      </c>
      <c r="B347" s="150" t="s">
        <v>733</v>
      </c>
      <c r="C347" s="44" t="s">
        <v>732</v>
      </c>
      <c r="D347" s="263">
        <v>0</v>
      </c>
      <c r="E347" s="263">
        <v>0</v>
      </c>
      <c r="F347" s="190" t="str">
        <f t="shared" si="6"/>
        <v>-</v>
      </c>
    </row>
    <row r="348" spans="1:6" customFormat="1" ht="12.75" customHeight="1" x14ac:dyDescent="0.2">
      <c r="A348" s="189" t="s">
        <v>734</v>
      </c>
      <c r="B348" s="150" t="s">
        <v>735</v>
      </c>
      <c r="C348" s="44" t="s">
        <v>734</v>
      </c>
      <c r="D348" s="262">
        <f>D349</f>
        <v>0</v>
      </c>
      <c r="E348" s="262">
        <f>E349</f>
        <v>0</v>
      </c>
      <c r="F348" s="190" t="str">
        <f t="shared" si="6"/>
        <v>-</v>
      </c>
    </row>
    <row r="349" spans="1:6" customFormat="1" ht="12.75" customHeight="1" x14ac:dyDescent="0.2">
      <c r="A349" s="189" t="s">
        <v>736</v>
      </c>
      <c r="B349" s="150" t="s">
        <v>737</v>
      </c>
      <c r="C349" s="44" t="s">
        <v>736</v>
      </c>
      <c r="D349" s="263">
        <v>0</v>
      </c>
      <c r="E349" s="263">
        <v>0</v>
      </c>
      <c r="F349" s="190" t="str">
        <f t="shared" si="6"/>
        <v>-</v>
      </c>
    </row>
    <row r="350" spans="1:6" customFormat="1" ht="12.75" customHeight="1" x14ac:dyDescent="0.2">
      <c r="A350" s="189" t="s">
        <v>738</v>
      </c>
      <c r="B350" s="150" t="s">
        <v>739</v>
      </c>
      <c r="C350" s="44" t="s">
        <v>738</v>
      </c>
      <c r="D350" s="262">
        <f>D351+D363+D396+D400+D402</f>
        <v>119406.06</v>
      </c>
      <c r="E350" s="262">
        <f>E351+E363+E396+E400+E402</f>
        <v>768750.20000000007</v>
      </c>
      <c r="F350" s="190">
        <f t="shared" si="6"/>
        <v>643.81171273886775</v>
      </c>
    </row>
    <row r="351" spans="1:6" customFormat="1" ht="12.75" customHeight="1" x14ac:dyDescent="0.2">
      <c r="A351" s="189" t="s">
        <v>740</v>
      </c>
      <c r="B351" s="150" t="s">
        <v>741</v>
      </c>
      <c r="C351" s="44" t="s">
        <v>740</v>
      </c>
      <c r="D351" s="262">
        <f>D352+D356</f>
        <v>0</v>
      </c>
      <c r="E351" s="262">
        <f>E352+E356</f>
        <v>0</v>
      </c>
      <c r="F351" s="190" t="str">
        <f t="shared" si="6"/>
        <v>-</v>
      </c>
    </row>
    <row r="352" spans="1:6" customFormat="1" ht="12.75" customHeight="1" x14ac:dyDescent="0.2">
      <c r="A352" s="189" t="s">
        <v>742</v>
      </c>
      <c r="B352" s="150" t="s">
        <v>743</v>
      </c>
      <c r="C352" s="44" t="s">
        <v>742</v>
      </c>
      <c r="D352" s="262">
        <f>SUM(D353:D355)</f>
        <v>0</v>
      </c>
      <c r="E352" s="262">
        <f>SUM(E353:E355)</f>
        <v>0</v>
      </c>
      <c r="F352" s="190" t="str">
        <f t="shared" si="6"/>
        <v>-</v>
      </c>
    </row>
    <row r="353" spans="1:6" customFormat="1" ht="12.75" customHeight="1" x14ac:dyDescent="0.2">
      <c r="A353" s="189" t="s">
        <v>744</v>
      </c>
      <c r="B353" s="150" t="s">
        <v>641</v>
      </c>
      <c r="C353" s="44" t="s">
        <v>744</v>
      </c>
      <c r="D353" s="263">
        <v>0</v>
      </c>
      <c r="E353" s="263">
        <v>0</v>
      </c>
      <c r="F353" s="190" t="str">
        <f t="shared" si="6"/>
        <v>-</v>
      </c>
    </row>
    <row r="354" spans="1:6" customFormat="1" ht="12.75" customHeight="1" x14ac:dyDescent="0.2">
      <c r="A354" s="189" t="s">
        <v>745</v>
      </c>
      <c r="B354" s="150" t="s">
        <v>643</v>
      </c>
      <c r="C354" s="44" t="s">
        <v>745</v>
      </c>
      <c r="D354" s="263">
        <v>0</v>
      </c>
      <c r="E354" s="263">
        <v>0</v>
      </c>
      <c r="F354" s="190" t="str">
        <f t="shared" si="6"/>
        <v>-</v>
      </c>
    </row>
    <row r="355" spans="1:6" customFormat="1" ht="12.75" customHeight="1" x14ac:dyDescent="0.2">
      <c r="A355" s="189" t="s">
        <v>746</v>
      </c>
      <c r="B355" s="150" t="s">
        <v>747</v>
      </c>
      <c r="C355" s="44" t="s">
        <v>746</v>
      </c>
      <c r="D355" s="263">
        <v>0</v>
      </c>
      <c r="E355" s="263">
        <v>0</v>
      </c>
      <c r="F355" s="190" t="str">
        <f t="shared" si="6"/>
        <v>-</v>
      </c>
    </row>
    <row r="356" spans="1:6" customFormat="1" ht="12.75" customHeight="1" x14ac:dyDescent="0.2">
      <c r="A356" s="189" t="s">
        <v>748</v>
      </c>
      <c r="B356" s="150" t="s">
        <v>749</v>
      </c>
      <c r="C356" s="44" t="s">
        <v>748</v>
      </c>
      <c r="D356" s="262">
        <f>SUM(D357:D362)</f>
        <v>0</v>
      </c>
      <c r="E356" s="262">
        <f>SUM(E357:E362)</f>
        <v>0</v>
      </c>
      <c r="F356" s="190" t="str">
        <f t="shared" si="6"/>
        <v>-</v>
      </c>
    </row>
    <row r="357" spans="1:6" customFormat="1" ht="12.75" customHeight="1" x14ac:dyDescent="0.2">
      <c r="A357" s="189" t="s">
        <v>750</v>
      </c>
      <c r="B357" s="150" t="s">
        <v>649</v>
      </c>
      <c r="C357" s="44" t="s">
        <v>750</v>
      </c>
      <c r="D357" s="263">
        <v>0</v>
      </c>
      <c r="E357" s="263">
        <v>0</v>
      </c>
      <c r="F357" s="190" t="str">
        <f t="shared" si="6"/>
        <v>-</v>
      </c>
    </row>
    <row r="358" spans="1:6" customFormat="1" ht="12.75" customHeight="1" x14ac:dyDescent="0.2">
      <c r="A358" s="189" t="s">
        <v>751</v>
      </c>
      <c r="B358" s="150" t="s">
        <v>651</v>
      </c>
      <c r="C358" s="44" t="s">
        <v>751</v>
      </c>
      <c r="D358" s="263">
        <v>0</v>
      </c>
      <c r="E358" s="263">
        <v>0</v>
      </c>
      <c r="F358" s="190" t="str">
        <f t="shared" si="6"/>
        <v>-</v>
      </c>
    </row>
    <row r="359" spans="1:6" customFormat="1" ht="12.75" customHeight="1" x14ac:dyDescent="0.2">
      <c r="A359" s="189" t="s">
        <v>752</v>
      </c>
      <c r="B359" s="150" t="s">
        <v>653</v>
      </c>
      <c r="C359" s="44" t="s">
        <v>752</v>
      </c>
      <c r="D359" s="263">
        <v>0</v>
      </c>
      <c r="E359" s="263">
        <v>0</v>
      </c>
      <c r="F359" s="190" t="str">
        <f t="shared" si="6"/>
        <v>-</v>
      </c>
    </row>
    <row r="360" spans="1:6" customFormat="1" ht="12.75" customHeight="1" x14ac:dyDescent="0.2">
      <c r="A360" s="189" t="s">
        <v>753</v>
      </c>
      <c r="B360" s="150" t="s">
        <v>655</v>
      </c>
      <c r="C360" s="44" t="s">
        <v>753</v>
      </c>
      <c r="D360" s="263">
        <v>0</v>
      </c>
      <c r="E360" s="263">
        <v>0</v>
      </c>
      <c r="F360" s="190" t="str">
        <f t="shared" si="6"/>
        <v>-</v>
      </c>
    </row>
    <row r="361" spans="1:6" customFormat="1" ht="12.75" customHeight="1" x14ac:dyDescent="0.2">
      <c r="A361" s="189" t="s">
        <v>754</v>
      </c>
      <c r="B361" s="150" t="s">
        <v>657</v>
      </c>
      <c r="C361" s="44" t="s">
        <v>754</v>
      </c>
      <c r="D361" s="263">
        <v>0</v>
      </c>
      <c r="E361" s="263">
        <v>0</v>
      </c>
      <c r="F361" s="190" t="str">
        <f t="shared" si="6"/>
        <v>-</v>
      </c>
    </row>
    <row r="362" spans="1:6" customFormat="1" ht="12.75" customHeight="1" x14ac:dyDescent="0.2">
      <c r="A362" s="189" t="s">
        <v>755</v>
      </c>
      <c r="B362" s="150" t="s">
        <v>659</v>
      </c>
      <c r="C362" s="44" t="s">
        <v>755</v>
      </c>
      <c r="D362" s="263">
        <v>0</v>
      </c>
      <c r="E362" s="263">
        <v>0</v>
      </c>
      <c r="F362" s="190" t="str">
        <f t="shared" ref="F362:F393" si="7">IF(D362&lt;&gt;0,IF(E362/D362&gt;=100,"&gt;&gt;100",E362/D362*100),"-")</f>
        <v>-</v>
      </c>
    </row>
    <row r="363" spans="1:6" customFormat="1" ht="24" customHeight="1" x14ac:dyDescent="0.2">
      <c r="A363" s="189" t="s">
        <v>756</v>
      </c>
      <c r="B363" s="195" t="s">
        <v>757</v>
      </c>
      <c r="C363" s="44" t="s">
        <v>756</v>
      </c>
      <c r="D363" s="262">
        <f>D364+D369+D378+D383+D388+D391</f>
        <v>85238.35</v>
      </c>
      <c r="E363" s="262">
        <f>E364+E369+E378+E383+E388+E391</f>
        <v>649659.94000000006</v>
      </c>
      <c r="F363" s="190">
        <f t="shared" si="7"/>
        <v>762.16860133965531</v>
      </c>
    </row>
    <row r="364" spans="1:6" customFormat="1" ht="12.75" customHeight="1" x14ac:dyDescent="0.2">
      <c r="A364" s="189" t="s">
        <v>758</v>
      </c>
      <c r="B364" s="150" t="s">
        <v>759</v>
      </c>
      <c r="C364" s="44" t="s">
        <v>758</v>
      </c>
      <c r="D364" s="262">
        <f>SUM(D365:D368)</f>
        <v>44865.91</v>
      </c>
      <c r="E364" s="262">
        <f>SUM(E365:E368)</f>
        <v>627142.16</v>
      </c>
      <c r="F364" s="190">
        <f t="shared" si="7"/>
        <v>1397.8144207929806</v>
      </c>
    </row>
    <row r="365" spans="1:6" customFormat="1" ht="12.75" customHeight="1" x14ac:dyDescent="0.2">
      <c r="A365" s="189" t="s">
        <v>760</v>
      </c>
      <c r="B365" s="150" t="s">
        <v>665</v>
      </c>
      <c r="C365" s="44" t="s">
        <v>760</v>
      </c>
      <c r="D365" s="263">
        <v>0</v>
      </c>
      <c r="E365" s="263">
        <v>0</v>
      </c>
      <c r="F365" s="190" t="str">
        <f t="shared" si="7"/>
        <v>-</v>
      </c>
    </row>
    <row r="366" spans="1:6" customFormat="1" ht="12.75" customHeight="1" x14ac:dyDescent="0.2">
      <c r="A366" s="189" t="s">
        <v>761</v>
      </c>
      <c r="B366" s="150" t="s">
        <v>667</v>
      </c>
      <c r="C366" s="44" t="s">
        <v>761</v>
      </c>
      <c r="D366" s="263">
        <v>17223.93</v>
      </c>
      <c r="E366" s="263">
        <v>410920.98</v>
      </c>
      <c r="F366" s="190">
        <f t="shared" si="7"/>
        <v>2385.7562124323545</v>
      </c>
    </row>
    <row r="367" spans="1:6" customFormat="1" ht="12.75" customHeight="1" x14ac:dyDescent="0.2">
      <c r="A367" s="189" t="s">
        <v>762</v>
      </c>
      <c r="B367" s="150" t="s">
        <v>669</v>
      </c>
      <c r="C367" s="44" t="s">
        <v>762</v>
      </c>
      <c r="D367" s="263">
        <v>25485.73</v>
      </c>
      <c r="E367" s="263">
        <v>176941.17</v>
      </c>
      <c r="F367" s="190">
        <f t="shared" si="7"/>
        <v>694.2754631709588</v>
      </c>
    </row>
    <row r="368" spans="1:6" customFormat="1" ht="12.75" customHeight="1" x14ac:dyDescent="0.2">
      <c r="A368" s="189" t="s">
        <v>763</v>
      </c>
      <c r="B368" s="150" t="s">
        <v>671</v>
      </c>
      <c r="C368" s="44" t="s">
        <v>763</v>
      </c>
      <c r="D368" s="263">
        <v>2156.25</v>
      </c>
      <c r="E368" s="263">
        <v>39280.01</v>
      </c>
      <c r="F368" s="190">
        <f t="shared" si="7"/>
        <v>1821.6816231884061</v>
      </c>
    </row>
    <row r="369" spans="1:6" customFormat="1" ht="12.75" customHeight="1" x14ac:dyDescent="0.2">
      <c r="A369" s="189" t="s">
        <v>764</v>
      </c>
      <c r="B369" s="150" t="s">
        <v>765</v>
      </c>
      <c r="C369" s="44" t="s">
        <v>764</v>
      </c>
      <c r="D369" s="262">
        <f>SUM(D370:D377)</f>
        <v>9471.2000000000007</v>
      </c>
      <c r="E369" s="262">
        <f>SUM(E370:E377)</f>
        <v>20565.969999999998</v>
      </c>
      <c r="F369" s="190">
        <f t="shared" si="7"/>
        <v>217.14217839344533</v>
      </c>
    </row>
    <row r="370" spans="1:6" customFormat="1" ht="12.75" customHeight="1" x14ac:dyDescent="0.2">
      <c r="A370" s="189" t="s">
        <v>766</v>
      </c>
      <c r="B370" s="150" t="s">
        <v>675</v>
      </c>
      <c r="C370" s="44" t="s">
        <v>766</v>
      </c>
      <c r="D370" s="263">
        <v>2381.5</v>
      </c>
      <c r="E370" s="263">
        <v>936.9</v>
      </c>
      <c r="F370" s="190">
        <f t="shared" si="7"/>
        <v>39.340751627125755</v>
      </c>
    </row>
    <row r="371" spans="1:6" customFormat="1" ht="12.75" customHeight="1" x14ac:dyDescent="0.2">
      <c r="A371" s="189" t="s">
        <v>767</v>
      </c>
      <c r="B371" s="150" t="s">
        <v>768</v>
      </c>
      <c r="C371" s="44" t="s">
        <v>767</v>
      </c>
      <c r="D371" s="263">
        <v>1350.4</v>
      </c>
      <c r="E371" s="263">
        <v>3659.33</v>
      </c>
      <c r="F371" s="190">
        <f t="shared" si="7"/>
        <v>270.98119075829385</v>
      </c>
    </row>
    <row r="372" spans="1:6" customFormat="1" ht="12.75" customHeight="1" x14ac:dyDescent="0.2">
      <c r="A372" s="189" t="s">
        <v>769</v>
      </c>
      <c r="B372" s="150" t="s">
        <v>679</v>
      </c>
      <c r="C372" s="44" t="s">
        <v>769</v>
      </c>
      <c r="D372" s="263">
        <v>1960</v>
      </c>
      <c r="E372" s="263">
        <v>8356.48</v>
      </c>
      <c r="F372" s="190">
        <f t="shared" si="7"/>
        <v>426.35102040816327</v>
      </c>
    </row>
    <row r="373" spans="1:6" customFormat="1" ht="12.75" customHeight="1" x14ac:dyDescent="0.2">
      <c r="A373" s="189" t="s">
        <v>770</v>
      </c>
      <c r="B373" s="150" t="s">
        <v>681</v>
      </c>
      <c r="C373" s="44" t="s">
        <v>770</v>
      </c>
      <c r="D373" s="263">
        <v>0</v>
      </c>
      <c r="E373" s="263">
        <v>0</v>
      </c>
      <c r="F373" s="190" t="str">
        <f t="shared" si="7"/>
        <v>-</v>
      </c>
    </row>
    <row r="374" spans="1:6" customFormat="1" ht="12.75" customHeight="1" x14ac:dyDescent="0.2">
      <c r="A374" s="189" t="s">
        <v>771</v>
      </c>
      <c r="B374" s="150" t="s">
        <v>683</v>
      </c>
      <c r="C374" s="44" t="s">
        <v>771</v>
      </c>
      <c r="D374" s="263">
        <v>0</v>
      </c>
      <c r="E374" s="263">
        <v>7082.5</v>
      </c>
      <c r="F374" s="190" t="str">
        <f t="shared" si="7"/>
        <v>-</v>
      </c>
    </row>
    <row r="375" spans="1:6" customFormat="1" ht="12.75" customHeight="1" x14ac:dyDescent="0.2">
      <c r="A375" s="189" t="s">
        <v>772</v>
      </c>
      <c r="B375" s="150" t="s">
        <v>685</v>
      </c>
      <c r="C375" s="44" t="s">
        <v>772</v>
      </c>
      <c r="D375" s="263">
        <v>0</v>
      </c>
      <c r="E375" s="263">
        <v>0</v>
      </c>
      <c r="F375" s="190" t="str">
        <f t="shared" si="7"/>
        <v>-</v>
      </c>
    </row>
    <row r="376" spans="1:6" customFormat="1" ht="12.75" customHeight="1" x14ac:dyDescent="0.2">
      <c r="A376" s="189" t="s">
        <v>773</v>
      </c>
      <c r="B376" s="195" t="s">
        <v>687</v>
      </c>
      <c r="C376" s="44" t="s">
        <v>773</v>
      </c>
      <c r="D376" s="263">
        <v>3779.3</v>
      </c>
      <c r="E376" s="263">
        <v>530.76</v>
      </c>
      <c r="F376" s="190">
        <f t="shared" si="7"/>
        <v>14.043870558039847</v>
      </c>
    </row>
    <row r="377" spans="1:6" customFormat="1" ht="12.75" customHeight="1" x14ac:dyDescent="0.2">
      <c r="A377" s="189" t="s">
        <v>774</v>
      </c>
      <c r="B377" s="195" t="s">
        <v>689</v>
      </c>
      <c r="C377" s="44" t="s">
        <v>774</v>
      </c>
      <c r="D377" s="263">
        <v>0</v>
      </c>
      <c r="E377" s="263">
        <v>0</v>
      </c>
      <c r="F377" s="190" t="str">
        <f t="shared" si="7"/>
        <v>-</v>
      </c>
    </row>
    <row r="378" spans="1:6" customFormat="1" ht="12.75" customHeight="1" x14ac:dyDescent="0.2">
      <c r="A378" s="189" t="s">
        <v>775</v>
      </c>
      <c r="B378" s="150" t="s">
        <v>776</v>
      </c>
      <c r="C378" s="44" t="s">
        <v>775</v>
      </c>
      <c r="D378" s="262">
        <f>SUM(D379:D382)</f>
        <v>0</v>
      </c>
      <c r="E378" s="262">
        <f>SUM(E379:E382)</f>
        <v>0</v>
      </c>
      <c r="F378" s="190" t="str">
        <f t="shared" si="7"/>
        <v>-</v>
      </c>
    </row>
    <row r="379" spans="1:6" customFormat="1" ht="12.75" customHeight="1" x14ac:dyDescent="0.2">
      <c r="A379" s="189" t="s">
        <v>777</v>
      </c>
      <c r="B379" s="150" t="s">
        <v>693</v>
      </c>
      <c r="C379" s="44" t="s">
        <v>777</v>
      </c>
      <c r="D379" s="263">
        <v>0</v>
      </c>
      <c r="E379" s="263">
        <v>0</v>
      </c>
      <c r="F379" s="190" t="str">
        <f t="shared" si="7"/>
        <v>-</v>
      </c>
    </row>
    <row r="380" spans="1:6" customFormat="1" ht="12.75" customHeight="1" x14ac:dyDescent="0.2">
      <c r="A380" s="189" t="s">
        <v>778</v>
      </c>
      <c r="B380" s="150" t="s">
        <v>695</v>
      </c>
      <c r="C380" s="44" t="s">
        <v>778</v>
      </c>
      <c r="D380" s="263">
        <v>0</v>
      </c>
      <c r="E380" s="263">
        <v>0</v>
      </c>
      <c r="F380" s="190" t="str">
        <f t="shared" si="7"/>
        <v>-</v>
      </c>
    </row>
    <row r="381" spans="1:6" customFormat="1" ht="12.75" customHeight="1" x14ac:dyDescent="0.2">
      <c r="A381" s="189" t="s">
        <v>779</v>
      </c>
      <c r="B381" s="150" t="s">
        <v>697</v>
      </c>
      <c r="C381" s="44" t="s">
        <v>779</v>
      </c>
      <c r="D381" s="263">
        <v>0</v>
      </c>
      <c r="E381" s="263">
        <v>0</v>
      </c>
      <c r="F381" s="190" t="str">
        <f t="shared" si="7"/>
        <v>-</v>
      </c>
    </row>
    <row r="382" spans="1:6" customFormat="1" ht="12.75" customHeight="1" x14ac:dyDescent="0.2">
      <c r="A382" s="189" t="s">
        <v>780</v>
      </c>
      <c r="B382" s="195" t="s">
        <v>699</v>
      </c>
      <c r="C382" s="44" t="s">
        <v>780</v>
      </c>
      <c r="D382" s="263">
        <v>0</v>
      </c>
      <c r="E382" s="263">
        <v>0</v>
      </c>
      <c r="F382" s="190" t="str">
        <f t="shared" si="7"/>
        <v>-</v>
      </c>
    </row>
    <row r="383" spans="1:6" customFormat="1" ht="12.75" customHeight="1" x14ac:dyDescent="0.2">
      <c r="A383" s="189" t="s">
        <v>781</v>
      </c>
      <c r="B383" s="150" t="s">
        <v>782</v>
      </c>
      <c r="C383" s="44" t="s">
        <v>781</v>
      </c>
      <c r="D383" s="262">
        <f>SUM(D384:D387)</f>
        <v>384.3</v>
      </c>
      <c r="E383" s="262">
        <f>SUM(E384:E387)</f>
        <v>76.81</v>
      </c>
      <c r="F383" s="190">
        <f t="shared" si="7"/>
        <v>19.986989331251625</v>
      </c>
    </row>
    <row r="384" spans="1:6" customFormat="1" ht="12.75" customHeight="1" x14ac:dyDescent="0.2">
      <c r="A384" s="189" t="s">
        <v>783</v>
      </c>
      <c r="B384" s="150" t="s">
        <v>784</v>
      </c>
      <c r="C384" s="44" t="s">
        <v>783</v>
      </c>
      <c r="D384" s="263">
        <v>384.3</v>
      </c>
      <c r="E384" s="263">
        <v>76.81</v>
      </c>
      <c r="F384" s="190">
        <f t="shared" si="7"/>
        <v>19.986989331251625</v>
      </c>
    </row>
    <row r="385" spans="1:6" customFormat="1" ht="12.75" customHeight="1" x14ac:dyDescent="0.2">
      <c r="A385" s="189" t="s">
        <v>785</v>
      </c>
      <c r="B385" s="150" t="s">
        <v>705</v>
      </c>
      <c r="C385" s="44" t="s">
        <v>785</v>
      </c>
      <c r="D385" s="263">
        <v>0</v>
      </c>
      <c r="E385" s="263">
        <v>0</v>
      </c>
      <c r="F385" s="190" t="str">
        <f t="shared" si="7"/>
        <v>-</v>
      </c>
    </row>
    <row r="386" spans="1:6" customFormat="1" ht="12.75" customHeight="1" x14ac:dyDescent="0.2">
      <c r="A386" s="189" t="s">
        <v>786</v>
      </c>
      <c r="B386" s="150" t="s">
        <v>707</v>
      </c>
      <c r="C386" s="44" t="s">
        <v>786</v>
      </c>
      <c r="D386" s="263">
        <v>0</v>
      </c>
      <c r="E386" s="263">
        <v>0</v>
      </c>
      <c r="F386" s="190" t="str">
        <f t="shared" si="7"/>
        <v>-</v>
      </c>
    </row>
    <row r="387" spans="1:6" customFormat="1" ht="12.75" customHeight="1" x14ac:dyDescent="0.2">
      <c r="A387" s="189" t="s">
        <v>787</v>
      </c>
      <c r="B387" s="150" t="s">
        <v>709</v>
      </c>
      <c r="C387" s="44" t="s">
        <v>787</v>
      </c>
      <c r="D387" s="263">
        <v>0</v>
      </c>
      <c r="E387" s="263">
        <v>0</v>
      </c>
      <c r="F387" s="190" t="str">
        <f t="shared" si="7"/>
        <v>-</v>
      </c>
    </row>
    <row r="388" spans="1:6" customFormat="1" ht="12.75" customHeight="1" x14ac:dyDescent="0.2">
      <c r="A388" s="189" t="s">
        <v>788</v>
      </c>
      <c r="B388" s="150" t="s">
        <v>789</v>
      </c>
      <c r="C388" s="44" t="s">
        <v>788</v>
      </c>
      <c r="D388" s="262">
        <f>SUM(D389:D390)</f>
        <v>0</v>
      </c>
      <c r="E388" s="262">
        <f>SUM(E389:E390)</f>
        <v>0</v>
      </c>
      <c r="F388" s="190" t="str">
        <f t="shared" si="7"/>
        <v>-</v>
      </c>
    </row>
    <row r="389" spans="1:6" customFormat="1" ht="12.75" customHeight="1" x14ac:dyDescent="0.2">
      <c r="A389" s="189" t="s">
        <v>790</v>
      </c>
      <c r="B389" s="150" t="s">
        <v>791</v>
      </c>
      <c r="C389" s="44" t="s">
        <v>790</v>
      </c>
      <c r="D389" s="263">
        <v>0</v>
      </c>
      <c r="E389" s="263">
        <v>0</v>
      </c>
      <c r="F389" s="190" t="str">
        <f t="shared" si="7"/>
        <v>-</v>
      </c>
    </row>
    <row r="390" spans="1:6" customFormat="1" ht="12.75" customHeight="1" x14ac:dyDescent="0.2">
      <c r="A390" s="189" t="s">
        <v>792</v>
      </c>
      <c r="B390" s="150" t="s">
        <v>715</v>
      </c>
      <c r="C390" s="44" t="s">
        <v>792</v>
      </c>
      <c r="D390" s="263">
        <v>0</v>
      </c>
      <c r="E390" s="263">
        <v>0</v>
      </c>
      <c r="F390" s="190" t="str">
        <f t="shared" si="7"/>
        <v>-</v>
      </c>
    </row>
    <row r="391" spans="1:6" customFormat="1" ht="12.75" customHeight="1" x14ac:dyDescent="0.2">
      <c r="A391" s="189" t="s">
        <v>793</v>
      </c>
      <c r="B391" s="150" t="s">
        <v>794</v>
      </c>
      <c r="C391" s="44" t="s">
        <v>793</v>
      </c>
      <c r="D391" s="262">
        <f>SUM(D392:D395)</f>
        <v>30516.94</v>
      </c>
      <c r="E391" s="262">
        <f>SUM(E392:E395)</f>
        <v>1875</v>
      </c>
      <c r="F391" s="190">
        <f t="shared" si="7"/>
        <v>6.1441284742179265</v>
      </c>
    </row>
    <row r="392" spans="1:6" customFormat="1" ht="12.75" customHeight="1" x14ac:dyDescent="0.2">
      <c r="A392" s="189" t="s">
        <v>795</v>
      </c>
      <c r="B392" s="150" t="s">
        <v>719</v>
      </c>
      <c r="C392" s="44" t="s">
        <v>795</v>
      </c>
      <c r="D392" s="263">
        <v>0</v>
      </c>
      <c r="E392" s="263">
        <v>0</v>
      </c>
      <c r="F392" s="190" t="str">
        <f t="shared" si="7"/>
        <v>-</v>
      </c>
    </row>
    <row r="393" spans="1:6" customFormat="1" ht="12.75" customHeight="1" x14ac:dyDescent="0.2">
      <c r="A393" s="189" t="s">
        <v>796</v>
      </c>
      <c r="B393" s="150" t="s">
        <v>721</v>
      </c>
      <c r="C393" s="44" t="s">
        <v>796</v>
      </c>
      <c r="D393" s="263">
        <v>322.5</v>
      </c>
      <c r="E393" s="263">
        <v>0</v>
      </c>
      <c r="F393" s="190">
        <f t="shared" si="7"/>
        <v>0</v>
      </c>
    </row>
    <row r="394" spans="1:6" customFormat="1" ht="12.75" customHeight="1" x14ac:dyDescent="0.2">
      <c r="A394" s="189" t="s">
        <v>797</v>
      </c>
      <c r="B394" s="150" t="s">
        <v>723</v>
      </c>
      <c r="C394" s="44" t="s">
        <v>797</v>
      </c>
      <c r="D394" s="263">
        <v>0</v>
      </c>
      <c r="E394" s="263">
        <v>0</v>
      </c>
      <c r="F394" s="190" t="str">
        <f t="shared" ref="F394:F418" si="8">IF(D394&lt;&gt;0,IF(E394/D394&gt;=100,"&gt;&gt;100",E394/D394*100),"-")</f>
        <v>-</v>
      </c>
    </row>
    <row r="395" spans="1:6" customFormat="1" ht="12.75" customHeight="1" x14ac:dyDescent="0.2">
      <c r="A395" s="189" t="s">
        <v>798</v>
      </c>
      <c r="B395" s="150" t="s">
        <v>725</v>
      </c>
      <c r="C395" s="44" t="s">
        <v>798</v>
      </c>
      <c r="D395" s="263">
        <v>30194.44</v>
      </c>
      <c r="E395" s="263">
        <v>1875</v>
      </c>
      <c r="F395" s="190">
        <f t="shared" si="8"/>
        <v>6.209752523974613</v>
      </c>
    </row>
    <row r="396" spans="1:6" customFormat="1" ht="24" customHeight="1" x14ac:dyDescent="0.2">
      <c r="A396" s="189" t="s">
        <v>799</v>
      </c>
      <c r="B396" s="150" t="s">
        <v>800</v>
      </c>
      <c r="C396" s="44" t="s">
        <v>799</v>
      </c>
      <c r="D396" s="262">
        <f>D397</f>
        <v>0</v>
      </c>
      <c r="E396" s="262">
        <f>E397</f>
        <v>0</v>
      </c>
      <c r="F396" s="190" t="str">
        <f t="shared" si="8"/>
        <v>-</v>
      </c>
    </row>
    <row r="397" spans="1:6" customFormat="1" ht="12.75" customHeight="1" x14ac:dyDescent="0.2">
      <c r="A397" s="189" t="s">
        <v>801</v>
      </c>
      <c r="B397" s="150" t="s">
        <v>802</v>
      </c>
      <c r="C397" s="44" t="s">
        <v>801</v>
      </c>
      <c r="D397" s="262">
        <f>SUM(D398:D399)</f>
        <v>0</v>
      </c>
      <c r="E397" s="262">
        <f>SUM(E398:E399)</f>
        <v>0</v>
      </c>
      <c r="F397" s="190" t="str">
        <f t="shared" si="8"/>
        <v>-</v>
      </c>
    </row>
    <row r="398" spans="1:6" customFormat="1" ht="12.75" customHeight="1" x14ac:dyDescent="0.2">
      <c r="A398" s="189" t="s">
        <v>803</v>
      </c>
      <c r="B398" s="150" t="s">
        <v>731</v>
      </c>
      <c r="C398" s="44" t="s">
        <v>803</v>
      </c>
      <c r="D398" s="263">
        <v>0</v>
      </c>
      <c r="E398" s="263">
        <v>0</v>
      </c>
      <c r="F398" s="190" t="str">
        <f t="shared" si="8"/>
        <v>-</v>
      </c>
    </row>
    <row r="399" spans="1:6" customFormat="1" ht="12.75" customHeight="1" x14ac:dyDescent="0.2">
      <c r="A399" s="189" t="s">
        <v>804</v>
      </c>
      <c r="B399" s="150" t="s">
        <v>733</v>
      </c>
      <c r="C399" s="44" t="s">
        <v>804</v>
      </c>
      <c r="D399" s="263">
        <v>0</v>
      </c>
      <c r="E399" s="263">
        <v>0</v>
      </c>
      <c r="F399" s="190" t="str">
        <f t="shared" si="8"/>
        <v>-</v>
      </c>
    </row>
    <row r="400" spans="1:6" customFormat="1" ht="12.75" customHeight="1" x14ac:dyDescent="0.2">
      <c r="A400" s="189" t="s">
        <v>805</v>
      </c>
      <c r="B400" s="150" t="s">
        <v>806</v>
      </c>
      <c r="C400" s="44" t="s">
        <v>805</v>
      </c>
      <c r="D400" s="262">
        <f>D401</f>
        <v>0</v>
      </c>
      <c r="E400" s="262">
        <f>E401</f>
        <v>0</v>
      </c>
      <c r="F400" s="190" t="str">
        <f t="shared" si="8"/>
        <v>-</v>
      </c>
    </row>
    <row r="401" spans="1:6" customFormat="1" ht="12.75" customHeight="1" x14ac:dyDescent="0.2">
      <c r="A401" s="189" t="s">
        <v>807</v>
      </c>
      <c r="B401" s="150" t="s">
        <v>808</v>
      </c>
      <c r="C401" s="44" t="s">
        <v>807</v>
      </c>
      <c r="D401" s="263">
        <v>0</v>
      </c>
      <c r="E401" s="263">
        <v>0</v>
      </c>
      <c r="F401" s="190" t="str">
        <f t="shared" si="8"/>
        <v>-</v>
      </c>
    </row>
    <row r="402" spans="1:6" customFormat="1" ht="12.75" customHeight="1" x14ac:dyDescent="0.2">
      <c r="A402" s="189" t="s">
        <v>809</v>
      </c>
      <c r="B402" s="150" t="s">
        <v>810</v>
      </c>
      <c r="C402" s="44" t="s">
        <v>809</v>
      </c>
      <c r="D402" s="262">
        <f>SUM(D403:D406)</f>
        <v>34167.71</v>
      </c>
      <c r="E402" s="262">
        <f>SUM(E403:E406)</f>
        <v>119090.26</v>
      </c>
      <c r="F402" s="190">
        <f t="shared" si="8"/>
        <v>348.54621512533328</v>
      </c>
    </row>
    <row r="403" spans="1:6" customFormat="1" ht="12.75" customHeight="1" x14ac:dyDescent="0.2">
      <c r="A403" s="189" t="s">
        <v>811</v>
      </c>
      <c r="B403" s="150" t="s">
        <v>812</v>
      </c>
      <c r="C403" s="44" t="s">
        <v>811</v>
      </c>
      <c r="D403" s="263">
        <v>34167.71</v>
      </c>
      <c r="E403" s="263">
        <v>119090.26</v>
      </c>
      <c r="F403" s="190">
        <f t="shared" si="8"/>
        <v>348.54621512533328</v>
      </c>
    </row>
    <row r="404" spans="1:6" customFormat="1" ht="12.75" customHeight="1" x14ac:dyDescent="0.2">
      <c r="A404" s="189" t="s">
        <v>813</v>
      </c>
      <c r="B404" s="150" t="s">
        <v>814</v>
      </c>
      <c r="C404" s="44" t="s">
        <v>813</v>
      </c>
      <c r="D404" s="263">
        <v>0</v>
      </c>
      <c r="E404" s="263">
        <v>0</v>
      </c>
      <c r="F404" s="190" t="str">
        <f t="shared" si="8"/>
        <v>-</v>
      </c>
    </row>
    <row r="405" spans="1:6" customFormat="1" ht="12.75" customHeight="1" x14ac:dyDescent="0.2">
      <c r="A405" s="189" t="s">
        <v>815</v>
      </c>
      <c r="B405" s="150" t="s">
        <v>816</v>
      </c>
      <c r="C405" s="44" t="s">
        <v>815</v>
      </c>
      <c r="D405" s="263">
        <v>0</v>
      </c>
      <c r="E405" s="263">
        <v>0</v>
      </c>
      <c r="F405" s="190" t="str">
        <f t="shared" si="8"/>
        <v>-</v>
      </c>
    </row>
    <row r="406" spans="1:6" customFormat="1" ht="12.75" customHeight="1" x14ac:dyDescent="0.2">
      <c r="A406" s="189" t="s">
        <v>817</v>
      </c>
      <c r="B406" s="150" t="s">
        <v>818</v>
      </c>
      <c r="C406" s="44" t="s">
        <v>817</v>
      </c>
      <c r="D406" s="263">
        <v>0</v>
      </c>
      <c r="E406" s="263">
        <v>0</v>
      </c>
      <c r="F406" s="190" t="str">
        <f t="shared" si="8"/>
        <v>-</v>
      </c>
    </row>
    <row r="407" spans="1:6" customFormat="1" ht="12.75" customHeight="1" x14ac:dyDescent="0.2">
      <c r="A407" s="189"/>
      <c r="B407" s="150" t="s">
        <v>819</v>
      </c>
      <c r="C407" s="44" t="s">
        <v>820</v>
      </c>
      <c r="D407" s="262">
        <f>IF(D298&gt;=D350,D298-D350,0)</f>
        <v>0</v>
      </c>
      <c r="E407" s="262">
        <f>IF(E298&gt;=E350,E298-E350,0)</f>
        <v>0</v>
      </c>
      <c r="F407" s="190" t="str">
        <f t="shared" si="8"/>
        <v>-</v>
      </c>
    </row>
    <row r="408" spans="1:6" customFormat="1" ht="12.75" customHeight="1" x14ac:dyDescent="0.2">
      <c r="A408" s="189"/>
      <c r="B408" s="150" t="s">
        <v>821</v>
      </c>
      <c r="C408" s="44" t="s">
        <v>822</v>
      </c>
      <c r="D408" s="262">
        <f>IF(D350&gt;=D298,D350-D298,0)</f>
        <v>118284.55</v>
      </c>
      <c r="E408" s="262">
        <f>IF(E350&gt;=E298,E350-E298,0)</f>
        <v>767628.69000000006</v>
      </c>
      <c r="F408" s="190">
        <f t="shared" si="8"/>
        <v>648.96784068587158</v>
      </c>
    </row>
    <row r="409" spans="1:6" customFormat="1" ht="12.75" customHeight="1" x14ac:dyDescent="0.2">
      <c r="A409" s="189" t="s">
        <v>823</v>
      </c>
      <c r="B409" s="150" t="s">
        <v>824</v>
      </c>
      <c r="C409" s="44" t="s">
        <v>823</v>
      </c>
      <c r="D409" s="263">
        <v>2393.2199999999998</v>
      </c>
      <c r="E409" s="263">
        <v>0</v>
      </c>
      <c r="F409" s="190">
        <f t="shared" si="8"/>
        <v>0</v>
      </c>
    </row>
    <row r="410" spans="1:6" customFormat="1" ht="12.75" customHeight="1" x14ac:dyDescent="0.2">
      <c r="A410" s="189" t="s">
        <v>825</v>
      </c>
      <c r="B410" s="150" t="s">
        <v>826</v>
      </c>
      <c r="C410" s="44" t="s">
        <v>825</v>
      </c>
      <c r="D410" s="263">
        <v>0</v>
      </c>
      <c r="E410" s="263">
        <v>0</v>
      </c>
      <c r="F410" s="190" t="str">
        <f t="shared" si="8"/>
        <v>-</v>
      </c>
    </row>
    <row r="411" spans="1:6" customFormat="1" ht="12.75" customHeight="1" x14ac:dyDescent="0.2">
      <c r="A411" s="189" t="s">
        <v>827</v>
      </c>
      <c r="B411" s="150" t="s">
        <v>828</v>
      </c>
      <c r="C411" s="44" t="s">
        <v>827</v>
      </c>
      <c r="D411" s="263">
        <v>3450.8</v>
      </c>
      <c r="E411" s="263">
        <v>1725.4</v>
      </c>
      <c r="F411" s="190">
        <f t="shared" si="8"/>
        <v>50</v>
      </c>
    </row>
    <row r="412" spans="1:6" customFormat="1" ht="12.75" customHeight="1" x14ac:dyDescent="0.2">
      <c r="A412" s="189"/>
      <c r="B412" s="150" t="s">
        <v>829</v>
      </c>
      <c r="C412" s="44" t="s">
        <v>830</v>
      </c>
      <c r="D412" s="262">
        <f>D6+D298</f>
        <v>818530.87</v>
      </c>
      <c r="E412" s="262">
        <f>E6+E298</f>
        <v>850637.71</v>
      </c>
      <c r="F412" s="190">
        <f t="shared" si="8"/>
        <v>103.92249592248122</v>
      </c>
    </row>
    <row r="413" spans="1:6" customFormat="1" ht="12.75" customHeight="1" x14ac:dyDescent="0.2">
      <c r="A413" s="189"/>
      <c r="B413" s="150" t="s">
        <v>831</v>
      </c>
      <c r="C413" s="44" t="s">
        <v>832</v>
      </c>
      <c r="D413" s="262">
        <f>D289+D350</f>
        <v>611226.49</v>
      </c>
      <c r="E413" s="262">
        <f>E289+E350</f>
        <v>1330386.5100000002</v>
      </c>
      <c r="F413" s="190">
        <f t="shared" si="8"/>
        <v>217.658516403633</v>
      </c>
    </row>
    <row r="414" spans="1:6" customFormat="1" ht="12.75" customHeight="1" x14ac:dyDescent="0.2">
      <c r="A414" s="189"/>
      <c r="B414" s="150" t="s">
        <v>833</v>
      </c>
      <c r="C414" s="44" t="s">
        <v>834</v>
      </c>
      <c r="D414" s="262">
        <f>IF(D412&gt;=D413,D412-D413,0)</f>
        <v>207304.38</v>
      </c>
      <c r="E414" s="262">
        <f>IF(E412&gt;=E413,E412-E413,0)</f>
        <v>0</v>
      </c>
      <c r="F414" s="190">
        <f t="shared" si="8"/>
        <v>0</v>
      </c>
    </row>
    <row r="415" spans="1:6" customFormat="1" ht="12.75" customHeight="1" x14ac:dyDescent="0.2">
      <c r="A415" s="189"/>
      <c r="B415" s="150" t="s">
        <v>835</v>
      </c>
      <c r="C415" s="44" t="s">
        <v>836</v>
      </c>
      <c r="D415" s="262">
        <f>IF(D413&gt;=D412,D413-D412,0)</f>
        <v>0</v>
      </c>
      <c r="E415" s="262">
        <f>IF(E413&gt;=E412,E413-E412,0)</f>
        <v>479748.80000000028</v>
      </c>
      <c r="F415" s="190" t="str">
        <f t="shared" si="8"/>
        <v>-</v>
      </c>
    </row>
    <row r="416" spans="1:6" customFormat="1" ht="12.75" customHeight="1" x14ac:dyDescent="0.2">
      <c r="A416" s="201" t="s">
        <v>837</v>
      </c>
      <c r="B416" s="195" t="s">
        <v>838</v>
      </c>
      <c r="C416" s="46" t="s">
        <v>839</v>
      </c>
      <c r="D416" s="262">
        <f>IF(D292-D293+D409-D410&gt;=0,D292-D293+D409-D410,0)</f>
        <v>348915.08999999997</v>
      </c>
      <c r="E416" s="262">
        <f>IF(E292-E293+E409-E410&gt;=0,E292-E293+E409-E410,0)</f>
        <v>548012.5</v>
      </c>
      <c r="F416" s="190">
        <f t="shared" si="8"/>
        <v>157.06185135185757</v>
      </c>
    </row>
    <row r="417" spans="1:6" customFormat="1" ht="12.75" customHeight="1" x14ac:dyDescent="0.2">
      <c r="A417" s="201" t="s">
        <v>837</v>
      </c>
      <c r="B417" s="150" t="s">
        <v>840</v>
      </c>
      <c r="C417" s="46" t="s">
        <v>841</v>
      </c>
      <c r="D417" s="262">
        <f>IF(D293-D292+D410-D409&gt;=0,D293-D292+D410-D409,0)</f>
        <v>0</v>
      </c>
      <c r="E417" s="262">
        <f>IF(E293-E292+E410-E409&gt;=0,E293-E292+E410-E409,0)</f>
        <v>0</v>
      </c>
      <c r="F417" s="190" t="str">
        <f t="shared" si="8"/>
        <v>-</v>
      </c>
    </row>
    <row r="418" spans="1:6" customFormat="1" ht="12.75" customHeight="1" x14ac:dyDescent="0.2">
      <c r="A418" s="198" t="s">
        <v>842</v>
      </c>
      <c r="B418" s="199" t="s">
        <v>843</v>
      </c>
      <c r="C418" s="45" t="s">
        <v>844</v>
      </c>
      <c r="D418" s="266">
        <f>D294+D411</f>
        <v>14422.07</v>
      </c>
      <c r="E418" s="266">
        <f>E294+E411</f>
        <v>14440.01</v>
      </c>
      <c r="F418" s="200">
        <f t="shared" si="8"/>
        <v>100.12439268426793</v>
      </c>
    </row>
    <row r="419" spans="1:6" s="50" customFormat="1" ht="20.100000000000001" customHeight="1" x14ac:dyDescent="0.2">
      <c r="A419" s="327" t="s">
        <v>845</v>
      </c>
      <c r="B419" s="328"/>
      <c r="C419" s="2"/>
      <c r="D419" s="265"/>
      <c r="E419" s="265"/>
      <c r="F419" s="194"/>
    </row>
    <row r="420" spans="1:6" customFormat="1" ht="12.75" customHeight="1" x14ac:dyDescent="0.2">
      <c r="A420" s="189" t="s">
        <v>846</v>
      </c>
      <c r="B420" s="150" t="s">
        <v>847</v>
      </c>
      <c r="C420" s="44" t="s">
        <v>846</v>
      </c>
      <c r="D420" s="262">
        <f>D421+D459+D472+D484+D515</f>
        <v>2720.7</v>
      </c>
      <c r="E420" s="262">
        <f>E421+E459+E472+E484+E515</f>
        <v>335214.7</v>
      </c>
      <c r="F420" s="190" t="str">
        <f t="shared" ref="F420:F483" si="9">IF(D420&lt;&gt;0,IF(E420/D420&gt;=100,"&gt;&gt;100",E420/D420*100),"-")</f>
        <v>&gt;&gt;100</v>
      </c>
    </row>
    <row r="421" spans="1:6" customFormat="1" ht="24" customHeight="1" x14ac:dyDescent="0.2">
      <c r="A421" s="189" t="s">
        <v>848</v>
      </c>
      <c r="B421" s="195" t="s">
        <v>849</v>
      </c>
      <c r="C421" s="44" t="s">
        <v>848</v>
      </c>
      <c r="D421" s="262">
        <f>D422+D427+D430+D434+D435+D442+D447+D455</f>
        <v>0</v>
      </c>
      <c r="E421" s="262">
        <f>E422+E427+E430+E434+E435+E442+E447+E455</f>
        <v>0</v>
      </c>
      <c r="F421" s="190" t="str">
        <f t="shared" si="9"/>
        <v>-</v>
      </c>
    </row>
    <row r="422" spans="1:6" customFormat="1" ht="24" customHeight="1" x14ac:dyDescent="0.2">
      <c r="A422" s="189" t="s">
        <v>850</v>
      </c>
      <c r="B422" s="150" t="s">
        <v>851</v>
      </c>
      <c r="C422" s="44" t="s">
        <v>850</v>
      </c>
      <c r="D422" s="262">
        <f>SUM(D423:D426)</f>
        <v>0</v>
      </c>
      <c r="E422" s="262">
        <f>SUM(E423:E426)</f>
        <v>0</v>
      </c>
      <c r="F422" s="190" t="str">
        <f t="shared" si="9"/>
        <v>-</v>
      </c>
    </row>
    <row r="423" spans="1:6" customFormat="1" ht="12.75" customHeight="1" x14ac:dyDescent="0.2">
      <c r="A423" s="189" t="s">
        <v>852</v>
      </c>
      <c r="B423" s="150" t="s">
        <v>853</v>
      </c>
      <c r="C423" s="44" t="s">
        <v>852</v>
      </c>
      <c r="D423" s="263">
        <v>0</v>
      </c>
      <c r="E423" s="263">
        <v>0</v>
      </c>
      <c r="F423" s="190" t="str">
        <f t="shared" si="9"/>
        <v>-</v>
      </c>
    </row>
    <row r="424" spans="1:6" customFormat="1" ht="12.75" customHeight="1" x14ac:dyDescent="0.2">
      <c r="A424" s="189" t="s">
        <v>854</v>
      </c>
      <c r="B424" s="150" t="s">
        <v>855</v>
      </c>
      <c r="C424" s="44" t="s">
        <v>854</v>
      </c>
      <c r="D424" s="263">
        <v>0</v>
      </c>
      <c r="E424" s="263">
        <v>0</v>
      </c>
      <c r="F424" s="190" t="str">
        <f t="shared" si="9"/>
        <v>-</v>
      </c>
    </row>
    <row r="425" spans="1:6" customFormat="1" ht="12.75" customHeight="1" x14ac:dyDescent="0.2">
      <c r="A425" s="189" t="s">
        <v>856</v>
      </c>
      <c r="B425" s="150" t="s">
        <v>857</v>
      </c>
      <c r="C425" s="44" t="s">
        <v>856</v>
      </c>
      <c r="D425" s="263">
        <v>0</v>
      </c>
      <c r="E425" s="263">
        <v>0</v>
      </c>
      <c r="F425" s="190" t="str">
        <f t="shared" si="9"/>
        <v>-</v>
      </c>
    </row>
    <row r="426" spans="1:6" customFormat="1" ht="12.75" customHeight="1" x14ac:dyDescent="0.2">
      <c r="A426" s="189" t="s">
        <v>858</v>
      </c>
      <c r="B426" s="150" t="s">
        <v>859</v>
      </c>
      <c r="C426" s="44" t="s">
        <v>858</v>
      </c>
      <c r="D426" s="263">
        <v>0</v>
      </c>
      <c r="E426" s="263">
        <v>0</v>
      </c>
      <c r="F426" s="190" t="str">
        <f t="shared" si="9"/>
        <v>-</v>
      </c>
    </row>
    <row r="427" spans="1:6" customFormat="1" ht="24" customHeight="1" x14ac:dyDescent="0.2">
      <c r="A427" s="189" t="s">
        <v>860</v>
      </c>
      <c r="B427" s="150" t="s">
        <v>861</v>
      </c>
      <c r="C427" s="44" t="s">
        <v>860</v>
      </c>
      <c r="D427" s="262">
        <f>SUM(D428:D429)</f>
        <v>0</v>
      </c>
      <c r="E427" s="262">
        <f>SUM(E428:E429)</f>
        <v>0</v>
      </c>
      <c r="F427" s="190" t="str">
        <f t="shared" si="9"/>
        <v>-</v>
      </c>
    </row>
    <row r="428" spans="1:6" customFormat="1" ht="24" customHeight="1" x14ac:dyDescent="0.2">
      <c r="A428" s="189" t="s">
        <v>862</v>
      </c>
      <c r="B428" s="195" t="s">
        <v>863</v>
      </c>
      <c r="C428" s="44" t="s">
        <v>862</v>
      </c>
      <c r="D428" s="263">
        <v>0</v>
      </c>
      <c r="E428" s="263">
        <v>0</v>
      </c>
      <c r="F428" s="190" t="str">
        <f t="shared" si="9"/>
        <v>-</v>
      </c>
    </row>
    <row r="429" spans="1:6" customFormat="1" ht="24" customHeight="1" x14ac:dyDescent="0.2">
      <c r="A429" s="189" t="s">
        <v>864</v>
      </c>
      <c r="B429" s="195" t="s">
        <v>865</v>
      </c>
      <c r="C429" s="44" t="s">
        <v>864</v>
      </c>
      <c r="D429" s="263">
        <v>0</v>
      </c>
      <c r="E429" s="263">
        <v>0</v>
      </c>
      <c r="F429" s="190" t="str">
        <f t="shared" si="9"/>
        <v>-</v>
      </c>
    </row>
    <row r="430" spans="1:6" customFormat="1" ht="24" customHeight="1" x14ac:dyDescent="0.2">
      <c r="A430" s="189" t="s">
        <v>866</v>
      </c>
      <c r="B430" s="150" t="s">
        <v>867</v>
      </c>
      <c r="C430" s="44" t="s">
        <v>866</v>
      </c>
      <c r="D430" s="262">
        <f>SUM(D431:D433)</f>
        <v>0</v>
      </c>
      <c r="E430" s="262">
        <f>SUM(E431:E433)</f>
        <v>0</v>
      </c>
      <c r="F430" s="190" t="str">
        <f t="shared" si="9"/>
        <v>-</v>
      </c>
    </row>
    <row r="431" spans="1:6" customFormat="1" ht="12.75" customHeight="1" x14ac:dyDescent="0.2">
      <c r="A431" s="189" t="s">
        <v>868</v>
      </c>
      <c r="B431" s="150" t="s">
        <v>869</v>
      </c>
      <c r="C431" s="44" t="s">
        <v>868</v>
      </c>
      <c r="D431" s="263">
        <v>0</v>
      </c>
      <c r="E431" s="263">
        <v>0</v>
      </c>
      <c r="F431" s="190" t="str">
        <f t="shared" si="9"/>
        <v>-</v>
      </c>
    </row>
    <row r="432" spans="1:6" customFormat="1" ht="12.75" customHeight="1" x14ac:dyDescent="0.2">
      <c r="A432" s="189" t="s">
        <v>870</v>
      </c>
      <c r="B432" s="150" t="s">
        <v>871</v>
      </c>
      <c r="C432" s="44" t="s">
        <v>870</v>
      </c>
      <c r="D432" s="263">
        <v>0</v>
      </c>
      <c r="E432" s="263">
        <v>0</v>
      </c>
      <c r="F432" s="190" t="str">
        <f t="shared" si="9"/>
        <v>-</v>
      </c>
    </row>
    <row r="433" spans="1:6" customFormat="1" ht="12.75" customHeight="1" x14ac:dyDescent="0.2">
      <c r="A433" s="189" t="s">
        <v>872</v>
      </c>
      <c r="B433" s="150" t="s">
        <v>873</v>
      </c>
      <c r="C433" s="44" t="s">
        <v>872</v>
      </c>
      <c r="D433" s="263">
        <v>0</v>
      </c>
      <c r="E433" s="263">
        <v>0</v>
      </c>
      <c r="F433" s="190" t="str">
        <f t="shared" si="9"/>
        <v>-</v>
      </c>
    </row>
    <row r="434" spans="1:6" customFormat="1" ht="24" customHeight="1" x14ac:dyDescent="0.2">
      <c r="A434" s="189" t="s">
        <v>874</v>
      </c>
      <c r="B434" s="195" t="s">
        <v>875</v>
      </c>
      <c r="C434" s="44" t="s">
        <v>874</v>
      </c>
      <c r="D434" s="263">
        <v>0</v>
      </c>
      <c r="E434" s="263">
        <v>0</v>
      </c>
      <c r="F434" s="190" t="str">
        <f t="shared" si="9"/>
        <v>-</v>
      </c>
    </row>
    <row r="435" spans="1:6" customFormat="1" ht="24" customHeight="1" x14ac:dyDescent="0.2">
      <c r="A435" s="189" t="s">
        <v>876</v>
      </c>
      <c r="B435" s="150" t="s">
        <v>877</v>
      </c>
      <c r="C435" s="44" t="s">
        <v>876</v>
      </c>
      <c r="D435" s="262">
        <f>SUM(D436:D441)</f>
        <v>0</v>
      </c>
      <c r="E435" s="262">
        <f>SUM(E436:E441)</f>
        <v>0</v>
      </c>
      <c r="F435" s="190" t="str">
        <f t="shared" si="9"/>
        <v>-</v>
      </c>
    </row>
    <row r="436" spans="1:6" customFormat="1" ht="12.75" customHeight="1" x14ac:dyDescent="0.2">
      <c r="A436" s="189" t="s">
        <v>878</v>
      </c>
      <c r="B436" s="150" t="s">
        <v>879</v>
      </c>
      <c r="C436" s="44" t="s">
        <v>878</v>
      </c>
      <c r="D436" s="263">
        <v>0</v>
      </c>
      <c r="E436" s="263">
        <v>0</v>
      </c>
      <c r="F436" s="190" t="str">
        <f t="shared" si="9"/>
        <v>-</v>
      </c>
    </row>
    <row r="437" spans="1:6" customFormat="1" ht="24" customHeight="1" x14ac:dyDescent="0.2">
      <c r="A437" s="189" t="s">
        <v>880</v>
      </c>
      <c r="B437" s="150" t="s">
        <v>881</v>
      </c>
      <c r="C437" s="44" t="s">
        <v>880</v>
      </c>
      <c r="D437" s="263">
        <v>0</v>
      </c>
      <c r="E437" s="263">
        <v>0</v>
      </c>
      <c r="F437" s="190" t="str">
        <f t="shared" si="9"/>
        <v>-</v>
      </c>
    </row>
    <row r="438" spans="1:6" customFormat="1" ht="24" customHeight="1" x14ac:dyDescent="0.2">
      <c r="A438" s="189" t="s">
        <v>882</v>
      </c>
      <c r="B438" s="150" t="s">
        <v>883</v>
      </c>
      <c r="C438" s="44" t="s">
        <v>882</v>
      </c>
      <c r="D438" s="263">
        <v>0</v>
      </c>
      <c r="E438" s="263">
        <v>0</v>
      </c>
      <c r="F438" s="190" t="str">
        <f t="shared" si="9"/>
        <v>-</v>
      </c>
    </row>
    <row r="439" spans="1:6" customFormat="1" ht="12.75" customHeight="1" x14ac:dyDescent="0.2">
      <c r="A439" s="189" t="s">
        <v>884</v>
      </c>
      <c r="B439" s="150" t="s">
        <v>885</v>
      </c>
      <c r="C439" s="44" t="s">
        <v>884</v>
      </c>
      <c r="D439" s="263">
        <v>0</v>
      </c>
      <c r="E439" s="263">
        <v>0</v>
      </c>
      <c r="F439" s="190" t="str">
        <f t="shared" si="9"/>
        <v>-</v>
      </c>
    </row>
    <row r="440" spans="1:6" customFormat="1" ht="12.75" customHeight="1" x14ac:dyDescent="0.2">
      <c r="A440" s="189" t="s">
        <v>886</v>
      </c>
      <c r="B440" s="150" t="s">
        <v>887</v>
      </c>
      <c r="C440" s="44" t="s">
        <v>886</v>
      </c>
      <c r="D440" s="263">
        <v>0</v>
      </c>
      <c r="E440" s="263">
        <v>0</v>
      </c>
      <c r="F440" s="190" t="str">
        <f t="shared" si="9"/>
        <v>-</v>
      </c>
    </row>
    <row r="441" spans="1:6" customFormat="1" ht="12.75" customHeight="1" x14ac:dyDescent="0.2">
      <c r="A441" s="189" t="s">
        <v>888</v>
      </c>
      <c r="B441" s="150" t="s">
        <v>889</v>
      </c>
      <c r="C441" s="44" t="s">
        <v>888</v>
      </c>
      <c r="D441" s="263">
        <v>0</v>
      </c>
      <c r="E441" s="263">
        <v>0</v>
      </c>
      <c r="F441" s="190" t="str">
        <f t="shared" si="9"/>
        <v>-</v>
      </c>
    </row>
    <row r="442" spans="1:6" customFormat="1" ht="24" customHeight="1" x14ac:dyDescent="0.2">
      <c r="A442" s="189" t="s">
        <v>890</v>
      </c>
      <c r="B442" s="150" t="s">
        <v>891</v>
      </c>
      <c r="C442" s="44" t="s">
        <v>890</v>
      </c>
      <c r="D442" s="262">
        <f>SUM(D443:D446)</f>
        <v>0</v>
      </c>
      <c r="E442" s="262">
        <f>SUM(E443:E446)</f>
        <v>0</v>
      </c>
      <c r="F442" s="190" t="str">
        <f t="shared" si="9"/>
        <v>-</v>
      </c>
    </row>
    <row r="443" spans="1:6" customFormat="1" ht="12.75" customHeight="1" x14ac:dyDescent="0.2">
      <c r="A443" s="189" t="s">
        <v>892</v>
      </c>
      <c r="B443" s="150" t="s">
        <v>893</v>
      </c>
      <c r="C443" s="44" t="s">
        <v>892</v>
      </c>
      <c r="D443" s="263">
        <v>0</v>
      </c>
      <c r="E443" s="263">
        <v>0</v>
      </c>
      <c r="F443" s="190" t="str">
        <f t="shared" si="9"/>
        <v>-</v>
      </c>
    </row>
    <row r="444" spans="1:6" customFormat="1" ht="12.75" customHeight="1" x14ac:dyDescent="0.2">
      <c r="A444" s="189" t="s">
        <v>894</v>
      </c>
      <c r="B444" s="150" t="s">
        <v>895</v>
      </c>
      <c r="C444" s="44" t="s">
        <v>894</v>
      </c>
      <c r="D444" s="263">
        <v>0</v>
      </c>
      <c r="E444" s="263">
        <v>0</v>
      </c>
      <c r="F444" s="190" t="str">
        <f t="shared" si="9"/>
        <v>-</v>
      </c>
    </row>
    <row r="445" spans="1:6" customFormat="1" ht="12.75" customHeight="1" x14ac:dyDescent="0.2">
      <c r="A445" s="189" t="s">
        <v>896</v>
      </c>
      <c r="B445" s="150" t="s">
        <v>897</v>
      </c>
      <c r="C445" s="44" t="s">
        <v>896</v>
      </c>
      <c r="D445" s="263">
        <v>0</v>
      </c>
      <c r="E445" s="263">
        <v>0</v>
      </c>
      <c r="F445" s="190" t="str">
        <f t="shared" si="9"/>
        <v>-</v>
      </c>
    </row>
    <row r="446" spans="1:6" customFormat="1" ht="12.75" customHeight="1" x14ac:dyDescent="0.2">
      <c r="A446" s="189" t="s">
        <v>898</v>
      </c>
      <c r="B446" s="150" t="s">
        <v>899</v>
      </c>
      <c r="C446" s="44" t="s">
        <v>898</v>
      </c>
      <c r="D446" s="263">
        <v>0</v>
      </c>
      <c r="E446" s="263">
        <v>0</v>
      </c>
      <c r="F446" s="190" t="str">
        <f t="shared" si="9"/>
        <v>-</v>
      </c>
    </row>
    <row r="447" spans="1:6" customFormat="1" ht="12.75" customHeight="1" x14ac:dyDescent="0.2">
      <c r="A447" s="189" t="s">
        <v>900</v>
      </c>
      <c r="B447" s="150" t="s">
        <v>901</v>
      </c>
      <c r="C447" s="44" t="s">
        <v>900</v>
      </c>
      <c r="D447" s="262">
        <f>SUM(D448:D454)</f>
        <v>0</v>
      </c>
      <c r="E447" s="262">
        <f>SUM(E448:E454)</f>
        <v>0</v>
      </c>
      <c r="F447" s="190" t="str">
        <f t="shared" si="9"/>
        <v>-</v>
      </c>
    </row>
    <row r="448" spans="1:6" customFormat="1" ht="12.75" customHeight="1" x14ac:dyDescent="0.2">
      <c r="A448" s="189" t="s">
        <v>902</v>
      </c>
      <c r="B448" s="150" t="s">
        <v>903</v>
      </c>
      <c r="C448" s="44" t="s">
        <v>902</v>
      </c>
      <c r="D448" s="263">
        <v>0</v>
      </c>
      <c r="E448" s="263">
        <v>0</v>
      </c>
      <c r="F448" s="190" t="str">
        <f t="shared" si="9"/>
        <v>-</v>
      </c>
    </row>
    <row r="449" spans="1:6" customFormat="1" ht="12.75" customHeight="1" x14ac:dyDescent="0.2">
      <c r="A449" s="189" t="s">
        <v>904</v>
      </c>
      <c r="B449" s="150" t="s">
        <v>905</v>
      </c>
      <c r="C449" s="44" t="s">
        <v>904</v>
      </c>
      <c r="D449" s="263">
        <v>0</v>
      </c>
      <c r="E449" s="263">
        <v>0</v>
      </c>
      <c r="F449" s="190" t="str">
        <f t="shared" si="9"/>
        <v>-</v>
      </c>
    </row>
    <row r="450" spans="1:6" customFormat="1" ht="12.75" customHeight="1" x14ac:dyDescent="0.2">
      <c r="A450" s="189" t="s">
        <v>906</v>
      </c>
      <c r="B450" s="150" t="s">
        <v>907</v>
      </c>
      <c r="C450" s="44" t="s">
        <v>906</v>
      </c>
      <c r="D450" s="263">
        <v>0</v>
      </c>
      <c r="E450" s="263">
        <v>0</v>
      </c>
      <c r="F450" s="190" t="str">
        <f t="shared" si="9"/>
        <v>-</v>
      </c>
    </row>
    <row r="451" spans="1:6" customFormat="1" ht="12.75" customHeight="1" x14ac:dyDescent="0.2">
      <c r="A451" s="189" t="s">
        <v>908</v>
      </c>
      <c r="B451" s="150" t="s">
        <v>909</v>
      </c>
      <c r="C451" s="44" t="s">
        <v>908</v>
      </c>
      <c r="D451" s="263">
        <v>0</v>
      </c>
      <c r="E451" s="263">
        <v>0</v>
      </c>
      <c r="F451" s="190" t="str">
        <f t="shared" si="9"/>
        <v>-</v>
      </c>
    </row>
    <row r="452" spans="1:6" customFormat="1" ht="12.75" customHeight="1" x14ac:dyDescent="0.2">
      <c r="A452" s="189" t="s">
        <v>910</v>
      </c>
      <c r="B452" s="150" t="s">
        <v>911</v>
      </c>
      <c r="C452" s="44" t="s">
        <v>910</v>
      </c>
      <c r="D452" s="263">
        <v>0</v>
      </c>
      <c r="E452" s="263">
        <v>0</v>
      </c>
      <c r="F452" s="190" t="str">
        <f t="shared" si="9"/>
        <v>-</v>
      </c>
    </row>
    <row r="453" spans="1:6" customFormat="1" ht="24" customHeight="1" x14ac:dyDescent="0.2">
      <c r="A453" s="189" t="s">
        <v>912</v>
      </c>
      <c r="B453" s="150" t="s">
        <v>913</v>
      </c>
      <c r="C453" s="44" t="s">
        <v>912</v>
      </c>
      <c r="D453" s="263">
        <v>0</v>
      </c>
      <c r="E453" s="263">
        <v>0</v>
      </c>
      <c r="F453" s="190" t="str">
        <f t="shared" si="9"/>
        <v>-</v>
      </c>
    </row>
    <row r="454" spans="1:6" customFormat="1" ht="24" customHeight="1" x14ac:dyDescent="0.2">
      <c r="A454" s="189" t="s">
        <v>914</v>
      </c>
      <c r="B454" s="195" t="s">
        <v>915</v>
      </c>
      <c r="C454" s="44" t="s">
        <v>914</v>
      </c>
      <c r="D454" s="263">
        <v>0</v>
      </c>
      <c r="E454" s="263">
        <v>0</v>
      </c>
      <c r="F454" s="190" t="str">
        <f t="shared" si="9"/>
        <v>-</v>
      </c>
    </row>
    <row r="455" spans="1:6" customFormat="1" ht="12.75" customHeight="1" x14ac:dyDescent="0.2">
      <c r="A455" s="189" t="s">
        <v>916</v>
      </c>
      <c r="B455" s="195" t="s">
        <v>917</v>
      </c>
      <c r="C455" s="44" t="s">
        <v>916</v>
      </c>
      <c r="D455" s="262">
        <f>SUM(D456:D458)</f>
        <v>0</v>
      </c>
      <c r="E455" s="262">
        <f>SUM(E456:E458)</f>
        <v>0</v>
      </c>
      <c r="F455" s="190" t="str">
        <f t="shared" si="9"/>
        <v>-</v>
      </c>
    </row>
    <row r="456" spans="1:6" customFormat="1" ht="24" customHeight="1" x14ac:dyDescent="0.2">
      <c r="A456" s="189" t="s">
        <v>918</v>
      </c>
      <c r="B456" s="195" t="s">
        <v>919</v>
      </c>
      <c r="C456" s="44" t="s">
        <v>918</v>
      </c>
      <c r="D456" s="263">
        <v>0</v>
      </c>
      <c r="E456" s="263">
        <v>0</v>
      </c>
      <c r="F456" s="190" t="str">
        <f t="shared" si="9"/>
        <v>-</v>
      </c>
    </row>
    <row r="457" spans="1:6" customFormat="1" ht="24" customHeight="1" x14ac:dyDescent="0.2">
      <c r="A457" s="189" t="s">
        <v>920</v>
      </c>
      <c r="B457" s="195" t="s">
        <v>921</v>
      </c>
      <c r="C457" s="44" t="s">
        <v>920</v>
      </c>
      <c r="D457" s="263">
        <v>0</v>
      </c>
      <c r="E457" s="263">
        <v>0</v>
      </c>
      <c r="F457" s="190" t="str">
        <f t="shared" si="9"/>
        <v>-</v>
      </c>
    </row>
    <row r="458" spans="1:6" customFormat="1" ht="12.75" customHeight="1" x14ac:dyDescent="0.2">
      <c r="A458" s="189" t="s">
        <v>922</v>
      </c>
      <c r="B458" s="195" t="s">
        <v>923</v>
      </c>
      <c r="C458" s="44" t="s">
        <v>922</v>
      </c>
      <c r="D458" s="263">
        <v>0</v>
      </c>
      <c r="E458" s="263">
        <v>0</v>
      </c>
      <c r="F458" s="190" t="str">
        <f t="shared" si="9"/>
        <v>-</v>
      </c>
    </row>
    <row r="459" spans="1:6" customFormat="1" ht="12.75" customHeight="1" x14ac:dyDescent="0.2">
      <c r="A459" s="189" t="s">
        <v>924</v>
      </c>
      <c r="B459" s="150" t="s">
        <v>925</v>
      </c>
      <c r="C459" s="44" t="s">
        <v>924</v>
      </c>
      <c r="D459" s="262">
        <f>D460+D463+D466+D469</f>
        <v>0</v>
      </c>
      <c r="E459" s="262">
        <f>E460+E463+E466+E469</f>
        <v>0</v>
      </c>
      <c r="F459" s="190" t="str">
        <f t="shared" si="9"/>
        <v>-</v>
      </c>
    </row>
    <row r="460" spans="1:6" customFormat="1" ht="12.75" customHeight="1" x14ac:dyDescent="0.2">
      <c r="A460" s="189" t="s">
        <v>926</v>
      </c>
      <c r="B460" s="150" t="s">
        <v>927</v>
      </c>
      <c r="C460" s="44" t="s">
        <v>926</v>
      </c>
      <c r="D460" s="262">
        <f>SUM(D461:D462)</f>
        <v>0</v>
      </c>
      <c r="E460" s="262">
        <f>SUM(E461:E462)</f>
        <v>0</v>
      </c>
      <c r="F460" s="190" t="str">
        <f t="shared" si="9"/>
        <v>-</v>
      </c>
    </row>
    <row r="461" spans="1:6" customFormat="1" ht="12.75" customHeight="1" x14ac:dyDescent="0.2">
      <c r="A461" s="189" t="s">
        <v>928</v>
      </c>
      <c r="B461" s="150" t="s">
        <v>929</v>
      </c>
      <c r="C461" s="44" t="s">
        <v>928</v>
      </c>
      <c r="D461" s="263">
        <v>0</v>
      </c>
      <c r="E461" s="263">
        <v>0</v>
      </c>
      <c r="F461" s="190" t="str">
        <f t="shared" si="9"/>
        <v>-</v>
      </c>
    </row>
    <row r="462" spans="1:6" customFormat="1" ht="12.75" customHeight="1" x14ac:dyDescent="0.2">
      <c r="A462" s="189" t="s">
        <v>930</v>
      </c>
      <c r="B462" s="150" t="s">
        <v>931</v>
      </c>
      <c r="C462" s="44" t="s">
        <v>930</v>
      </c>
      <c r="D462" s="263">
        <v>0</v>
      </c>
      <c r="E462" s="263">
        <v>0</v>
      </c>
      <c r="F462" s="190" t="str">
        <f t="shared" si="9"/>
        <v>-</v>
      </c>
    </row>
    <row r="463" spans="1:6" customFormat="1" ht="12.75" customHeight="1" x14ac:dyDescent="0.2">
      <c r="A463" s="189" t="s">
        <v>932</v>
      </c>
      <c r="B463" s="150" t="s">
        <v>933</v>
      </c>
      <c r="C463" s="44" t="s">
        <v>932</v>
      </c>
      <c r="D463" s="262">
        <f>SUM(D464:D465)</f>
        <v>0</v>
      </c>
      <c r="E463" s="262">
        <f>SUM(E464:E465)</f>
        <v>0</v>
      </c>
      <c r="F463" s="190" t="str">
        <f t="shared" si="9"/>
        <v>-</v>
      </c>
    </row>
    <row r="464" spans="1:6" customFormat="1" ht="12.75" customHeight="1" x14ac:dyDescent="0.2">
      <c r="A464" s="189" t="s">
        <v>934</v>
      </c>
      <c r="B464" s="150" t="s">
        <v>935</v>
      </c>
      <c r="C464" s="44" t="s">
        <v>934</v>
      </c>
      <c r="D464" s="263">
        <v>0</v>
      </c>
      <c r="E464" s="263">
        <v>0</v>
      </c>
      <c r="F464" s="190" t="str">
        <f t="shared" si="9"/>
        <v>-</v>
      </c>
    </row>
    <row r="465" spans="1:6" customFormat="1" ht="12.75" customHeight="1" x14ac:dyDescent="0.2">
      <c r="A465" s="189" t="s">
        <v>936</v>
      </c>
      <c r="B465" s="150" t="s">
        <v>937</v>
      </c>
      <c r="C465" s="44" t="s">
        <v>936</v>
      </c>
      <c r="D465" s="263">
        <v>0</v>
      </c>
      <c r="E465" s="263">
        <v>0</v>
      </c>
      <c r="F465" s="190" t="str">
        <f t="shared" si="9"/>
        <v>-</v>
      </c>
    </row>
    <row r="466" spans="1:6" customFormat="1" ht="12.75" customHeight="1" x14ac:dyDescent="0.2">
      <c r="A466" s="189" t="s">
        <v>938</v>
      </c>
      <c r="B466" s="150" t="s">
        <v>939</v>
      </c>
      <c r="C466" s="44" t="s">
        <v>938</v>
      </c>
      <c r="D466" s="262">
        <f>SUM(D467:D468)</f>
        <v>0</v>
      </c>
      <c r="E466" s="262">
        <f>SUM(E467:E468)</f>
        <v>0</v>
      </c>
      <c r="F466" s="190" t="str">
        <f t="shared" si="9"/>
        <v>-</v>
      </c>
    </row>
    <row r="467" spans="1:6" customFormat="1" ht="12.75" customHeight="1" x14ac:dyDescent="0.2">
      <c r="A467" s="189" t="s">
        <v>940</v>
      </c>
      <c r="B467" s="150" t="s">
        <v>941</v>
      </c>
      <c r="C467" s="44" t="s">
        <v>940</v>
      </c>
      <c r="D467" s="263">
        <v>0</v>
      </c>
      <c r="E467" s="263">
        <v>0</v>
      </c>
      <c r="F467" s="190" t="str">
        <f t="shared" si="9"/>
        <v>-</v>
      </c>
    </row>
    <row r="468" spans="1:6" customFormat="1" ht="12.75" customHeight="1" x14ac:dyDescent="0.2">
      <c r="A468" s="189" t="s">
        <v>942</v>
      </c>
      <c r="B468" s="150" t="s">
        <v>943</v>
      </c>
      <c r="C468" s="44" t="s">
        <v>942</v>
      </c>
      <c r="D468" s="263">
        <v>0</v>
      </c>
      <c r="E468" s="263">
        <v>0</v>
      </c>
      <c r="F468" s="190" t="str">
        <f t="shared" si="9"/>
        <v>-</v>
      </c>
    </row>
    <row r="469" spans="1:6" customFormat="1" ht="12.75" customHeight="1" x14ac:dyDescent="0.2">
      <c r="A469" s="189" t="s">
        <v>944</v>
      </c>
      <c r="B469" s="150" t="s">
        <v>945</v>
      </c>
      <c r="C469" s="44" t="s">
        <v>944</v>
      </c>
      <c r="D469" s="262">
        <f>SUM(D470:D471)</f>
        <v>0</v>
      </c>
      <c r="E469" s="262">
        <f>SUM(E470:E471)</f>
        <v>0</v>
      </c>
      <c r="F469" s="190" t="str">
        <f t="shared" si="9"/>
        <v>-</v>
      </c>
    </row>
    <row r="470" spans="1:6" customFormat="1" ht="12.75" customHeight="1" x14ac:dyDescent="0.2">
      <c r="A470" s="189" t="s">
        <v>946</v>
      </c>
      <c r="B470" s="150" t="s">
        <v>947</v>
      </c>
      <c r="C470" s="44" t="s">
        <v>946</v>
      </c>
      <c r="D470" s="263">
        <v>0</v>
      </c>
      <c r="E470" s="263">
        <v>0</v>
      </c>
      <c r="F470" s="190" t="str">
        <f t="shared" si="9"/>
        <v>-</v>
      </c>
    </row>
    <row r="471" spans="1:6" customFormat="1" ht="12.75" customHeight="1" x14ac:dyDescent="0.2">
      <c r="A471" s="189" t="s">
        <v>948</v>
      </c>
      <c r="B471" s="150" t="s">
        <v>949</v>
      </c>
      <c r="C471" s="44" t="s">
        <v>948</v>
      </c>
      <c r="D471" s="263">
        <v>0</v>
      </c>
      <c r="E471" s="263">
        <v>0</v>
      </c>
      <c r="F471" s="190" t="str">
        <f t="shared" si="9"/>
        <v>-</v>
      </c>
    </row>
    <row r="472" spans="1:6" customFormat="1" ht="12.75" customHeight="1" x14ac:dyDescent="0.2">
      <c r="A472" s="189" t="s">
        <v>950</v>
      </c>
      <c r="B472" s="150" t="s">
        <v>951</v>
      </c>
      <c r="C472" s="44" t="s">
        <v>950</v>
      </c>
      <c r="D472" s="262">
        <f>D473+D477+D478+D481</f>
        <v>0</v>
      </c>
      <c r="E472" s="262">
        <f>E473+E477+E478+E481</f>
        <v>0</v>
      </c>
      <c r="F472" s="190" t="str">
        <f t="shared" si="9"/>
        <v>-</v>
      </c>
    </row>
    <row r="473" spans="1:6" customFormat="1" ht="24" customHeight="1" x14ac:dyDescent="0.2">
      <c r="A473" s="189" t="s">
        <v>952</v>
      </c>
      <c r="B473" s="150" t="s">
        <v>953</v>
      </c>
      <c r="C473" s="44" t="s">
        <v>952</v>
      </c>
      <c r="D473" s="262">
        <f>SUM(D474:D476)</f>
        <v>0</v>
      </c>
      <c r="E473" s="262">
        <f>SUM(E474:E476)</f>
        <v>0</v>
      </c>
      <c r="F473" s="190" t="str">
        <f t="shared" si="9"/>
        <v>-</v>
      </c>
    </row>
    <row r="474" spans="1:6" customFormat="1" ht="12.75" customHeight="1" x14ac:dyDescent="0.2">
      <c r="A474" s="189" t="s">
        <v>954</v>
      </c>
      <c r="B474" s="150" t="s">
        <v>955</v>
      </c>
      <c r="C474" s="44" t="s">
        <v>954</v>
      </c>
      <c r="D474" s="263">
        <v>0</v>
      </c>
      <c r="E474" s="263">
        <v>0</v>
      </c>
      <c r="F474" s="190" t="str">
        <f t="shared" si="9"/>
        <v>-</v>
      </c>
    </row>
    <row r="475" spans="1:6" customFormat="1" ht="12.75" customHeight="1" x14ac:dyDescent="0.2">
      <c r="A475" s="189" t="s">
        <v>956</v>
      </c>
      <c r="B475" s="150" t="s">
        <v>957</v>
      </c>
      <c r="C475" s="44" t="s">
        <v>956</v>
      </c>
      <c r="D475" s="263">
        <v>0</v>
      </c>
      <c r="E475" s="263">
        <v>0</v>
      </c>
      <c r="F475" s="190" t="str">
        <f t="shared" si="9"/>
        <v>-</v>
      </c>
    </row>
    <row r="476" spans="1:6" customFormat="1" ht="12.75" customHeight="1" x14ac:dyDescent="0.2">
      <c r="A476" s="189" t="s">
        <v>958</v>
      </c>
      <c r="B476" s="150" t="s">
        <v>959</v>
      </c>
      <c r="C476" s="44" t="s">
        <v>958</v>
      </c>
      <c r="D476" s="263">
        <v>0</v>
      </c>
      <c r="E476" s="263">
        <v>0</v>
      </c>
      <c r="F476" s="190" t="str">
        <f t="shared" si="9"/>
        <v>-</v>
      </c>
    </row>
    <row r="477" spans="1:6" customFormat="1" ht="24" customHeight="1" x14ac:dyDescent="0.2">
      <c r="A477" s="189" t="s">
        <v>960</v>
      </c>
      <c r="B477" s="195" t="s">
        <v>961</v>
      </c>
      <c r="C477" s="44" t="s">
        <v>960</v>
      </c>
      <c r="D477" s="263">
        <v>0</v>
      </c>
      <c r="E477" s="263">
        <v>0</v>
      </c>
      <c r="F477" s="190" t="str">
        <f t="shared" si="9"/>
        <v>-</v>
      </c>
    </row>
    <row r="478" spans="1:6" customFormat="1" ht="24" customHeight="1" x14ac:dyDescent="0.2">
      <c r="A478" s="189" t="s">
        <v>962</v>
      </c>
      <c r="B478" s="150" t="s">
        <v>963</v>
      </c>
      <c r="C478" s="44" t="s">
        <v>962</v>
      </c>
      <c r="D478" s="262">
        <f>SUM(D479:D480)</f>
        <v>0</v>
      </c>
      <c r="E478" s="262">
        <f>SUM(E479:E480)</f>
        <v>0</v>
      </c>
      <c r="F478" s="190" t="str">
        <f t="shared" si="9"/>
        <v>-</v>
      </c>
    </row>
    <row r="479" spans="1:6" customFormat="1" ht="24" customHeight="1" x14ac:dyDescent="0.2">
      <c r="A479" s="189" t="s">
        <v>964</v>
      </c>
      <c r="B479" s="195" t="s">
        <v>965</v>
      </c>
      <c r="C479" s="44" t="s">
        <v>964</v>
      </c>
      <c r="D479" s="263">
        <v>0</v>
      </c>
      <c r="E479" s="263">
        <v>0</v>
      </c>
      <c r="F479" s="190" t="str">
        <f t="shared" si="9"/>
        <v>-</v>
      </c>
    </row>
    <row r="480" spans="1:6" customFormat="1" ht="12.75" customHeight="1" x14ac:dyDescent="0.2">
      <c r="A480" s="189" t="s">
        <v>966</v>
      </c>
      <c r="B480" s="150" t="s">
        <v>967</v>
      </c>
      <c r="C480" s="44" t="s">
        <v>966</v>
      </c>
      <c r="D480" s="263">
        <v>0</v>
      </c>
      <c r="E480" s="263">
        <v>0</v>
      </c>
      <c r="F480" s="190" t="str">
        <f t="shared" si="9"/>
        <v>-</v>
      </c>
    </row>
    <row r="481" spans="1:6" customFormat="1" ht="24" customHeight="1" x14ac:dyDescent="0.2">
      <c r="A481" s="189" t="s">
        <v>968</v>
      </c>
      <c r="B481" s="150" t="s">
        <v>969</v>
      </c>
      <c r="C481" s="44" t="s">
        <v>968</v>
      </c>
      <c r="D481" s="262">
        <f>SUM(D482:D483)</f>
        <v>0</v>
      </c>
      <c r="E481" s="262">
        <f>SUM(E482:E483)</f>
        <v>0</v>
      </c>
      <c r="F481" s="190" t="str">
        <f t="shared" si="9"/>
        <v>-</v>
      </c>
    </row>
    <row r="482" spans="1:6" customFormat="1" ht="12.75" customHeight="1" x14ac:dyDescent="0.2">
      <c r="A482" s="189" t="s">
        <v>970</v>
      </c>
      <c r="B482" s="150" t="s">
        <v>971</v>
      </c>
      <c r="C482" s="44" t="s">
        <v>970</v>
      </c>
      <c r="D482" s="263">
        <v>0</v>
      </c>
      <c r="E482" s="263">
        <v>0</v>
      </c>
      <c r="F482" s="190" t="str">
        <f t="shared" si="9"/>
        <v>-</v>
      </c>
    </row>
    <row r="483" spans="1:6" customFormat="1" ht="12.75" customHeight="1" x14ac:dyDescent="0.2">
      <c r="A483" s="189" t="s">
        <v>972</v>
      </c>
      <c r="B483" s="150" t="s">
        <v>973</v>
      </c>
      <c r="C483" s="44" t="s">
        <v>972</v>
      </c>
      <c r="D483" s="263">
        <v>0</v>
      </c>
      <c r="E483" s="263">
        <v>0</v>
      </c>
      <c r="F483" s="190" t="str">
        <f t="shared" si="9"/>
        <v>-</v>
      </c>
    </row>
    <row r="484" spans="1:6" customFormat="1" ht="12.75" customHeight="1" x14ac:dyDescent="0.2">
      <c r="A484" s="189" t="s">
        <v>974</v>
      </c>
      <c r="B484" s="150" t="s">
        <v>975</v>
      </c>
      <c r="C484" s="44" t="s">
        <v>974</v>
      </c>
      <c r="D484" s="262">
        <f>D485+D490+D494+D495+D502+D507</f>
        <v>2720.7</v>
      </c>
      <c r="E484" s="262">
        <f>E485+E490+E494+E495+E502+E507</f>
        <v>335214.7</v>
      </c>
      <c r="F484" s="190" t="str">
        <f t="shared" ref="F484:F547" si="10">IF(D484&lt;&gt;0,IF(E484/D484&gt;=100,"&gt;&gt;100",E484/D484*100),"-")</f>
        <v>&gt;&gt;100</v>
      </c>
    </row>
    <row r="485" spans="1:6" customFormat="1" ht="24" customHeight="1" x14ac:dyDescent="0.2">
      <c r="A485" s="189" t="s">
        <v>976</v>
      </c>
      <c r="B485" s="150" t="s">
        <v>977</v>
      </c>
      <c r="C485" s="44" t="s">
        <v>976</v>
      </c>
      <c r="D485" s="262">
        <f>SUM(D486:D489)</f>
        <v>0</v>
      </c>
      <c r="E485" s="262">
        <f>SUM(E486:E489)</f>
        <v>0</v>
      </c>
      <c r="F485" s="190" t="str">
        <f t="shared" si="10"/>
        <v>-</v>
      </c>
    </row>
    <row r="486" spans="1:6" customFormat="1" ht="12.75" customHeight="1" x14ac:dyDescent="0.2">
      <c r="A486" s="189" t="s">
        <v>978</v>
      </c>
      <c r="B486" s="150" t="s">
        <v>979</v>
      </c>
      <c r="C486" s="44" t="s">
        <v>978</v>
      </c>
      <c r="D486" s="263">
        <v>0</v>
      </c>
      <c r="E486" s="263">
        <v>0</v>
      </c>
      <c r="F486" s="190" t="str">
        <f t="shared" si="10"/>
        <v>-</v>
      </c>
    </row>
    <row r="487" spans="1:6" customFormat="1" ht="12.75" customHeight="1" x14ac:dyDescent="0.2">
      <c r="A487" s="189" t="s">
        <v>980</v>
      </c>
      <c r="B487" s="150" t="s">
        <v>981</v>
      </c>
      <c r="C487" s="44" t="s">
        <v>980</v>
      </c>
      <c r="D487" s="263">
        <v>0</v>
      </c>
      <c r="E487" s="263">
        <v>0</v>
      </c>
      <c r="F487" s="190" t="str">
        <f t="shared" si="10"/>
        <v>-</v>
      </c>
    </row>
    <row r="488" spans="1:6" customFormat="1" ht="12.75" customHeight="1" x14ac:dyDescent="0.2">
      <c r="A488" s="189" t="s">
        <v>982</v>
      </c>
      <c r="B488" s="150" t="s">
        <v>983</v>
      </c>
      <c r="C488" s="44" t="s">
        <v>982</v>
      </c>
      <c r="D488" s="263">
        <v>0</v>
      </c>
      <c r="E488" s="263">
        <v>0</v>
      </c>
      <c r="F488" s="190" t="str">
        <f t="shared" si="10"/>
        <v>-</v>
      </c>
    </row>
    <row r="489" spans="1:6" customFormat="1" ht="12.75" customHeight="1" x14ac:dyDescent="0.2">
      <c r="A489" s="189" t="s">
        <v>984</v>
      </c>
      <c r="B489" s="150" t="s">
        <v>985</v>
      </c>
      <c r="C489" s="44" t="s">
        <v>984</v>
      </c>
      <c r="D489" s="263">
        <v>0</v>
      </c>
      <c r="E489" s="263">
        <v>0</v>
      </c>
      <c r="F489" s="190" t="str">
        <f t="shared" si="10"/>
        <v>-</v>
      </c>
    </row>
    <row r="490" spans="1:6" customFormat="1" ht="24" customHeight="1" x14ac:dyDescent="0.2">
      <c r="A490" s="189" t="s">
        <v>986</v>
      </c>
      <c r="B490" s="150" t="s">
        <v>987</v>
      </c>
      <c r="C490" s="44" t="s">
        <v>986</v>
      </c>
      <c r="D490" s="262">
        <f>SUM(D491:D493)</f>
        <v>0</v>
      </c>
      <c r="E490" s="262">
        <f>SUM(E491:E493)</f>
        <v>335214.7</v>
      </c>
      <c r="F490" s="190" t="str">
        <f t="shared" si="10"/>
        <v>-</v>
      </c>
    </row>
    <row r="491" spans="1:6" customFormat="1" ht="12.75" customHeight="1" x14ac:dyDescent="0.2">
      <c r="A491" s="189" t="s">
        <v>988</v>
      </c>
      <c r="B491" s="150" t="s">
        <v>989</v>
      </c>
      <c r="C491" s="44" t="s">
        <v>988</v>
      </c>
      <c r="D491" s="263">
        <v>0</v>
      </c>
      <c r="E491" s="263">
        <v>335214.7</v>
      </c>
      <c r="F491" s="190" t="str">
        <f t="shared" si="10"/>
        <v>-</v>
      </c>
    </row>
    <row r="492" spans="1:6" customFormat="1" ht="12.75" customHeight="1" x14ac:dyDescent="0.2">
      <c r="A492" s="189" t="s">
        <v>990</v>
      </c>
      <c r="B492" s="150" t="s">
        <v>991</v>
      </c>
      <c r="C492" s="44" t="s">
        <v>990</v>
      </c>
      <c r="D492" s="263">
        <v>0</v>
      </c>
      <c r="E492" s="263">
        <v>0</v>
      </c>
      <c r="F492" s="190" t="str">
        <f t="shared" si="10"/>
        <v>-</v>
      </c>
    </row>
    <row r="493" spans="1:6" customFormat="1" ht="12.75" customHeight="1" x14ac:dyDescent="0.2">
      <c r="A493" s="189" t="s">
        <v>992</v>
      </c>
      <c r="B493" s="150" t="s">
        <v>993</v>
      </c>
      <c r="C493" s="44" t="s">
        <v>992</v>
      </c>
      <c r="D493" s="263">
        <v>0</v>
      </c>
      <c r="E493" s="263">
        <v>0</v>
      </c>
      <c r="F493" s="190" t="str">
        <f t="shared" si="10"/>
        <v>-</v>
      </c>
    </row>
    <row r="494" spans="1:6" customFormat="1" ht="12.75" customHeight="1" x14ac:dyDescent="0.2">
      <c r="A494" s="189" t="s">
        <v>994</v>
      </c>
      <c r="B494" s="150" t="s">
        <v>995</v>
      </c>
      <c r="C494" s="44" t="s">
        <v>994</v>
      </c>
      <c r="D494" s="263">
        <v>0</v>
      </c>
      <c r="E494" s="263">
        <v>0</v>
      </c>
      <c r="F494" s="190" t="str">
        <f t="shared" si="10"/>
        <v>-</v>
      </c>
    </row>
    <row r="495" spans="1:6" customFormat="1" ht="24" customHeight="1" x14ac:dyDescent="0.2">
      <c r="A495" s="189" t="s">
        <v>996</v>
      </c>
      <c r="B495" s="150" t="s">
        <v>997</v>
      </c>
      <c r="C495" s="44" t="s">
        <v>996</v>
      </c>
      <c r="D495" s="262">
        <f>SUM(D496:D501)</f>
        <v>0</v>
      </c>
      <c r="E495" s="262">
        <f>SUM(E496:E501)</f>
        <v>0</v>
      </c>
      <c r="F495" s="190" t="str">
        <f t="shared" si="10"/>
        <v>-</v>
      </c>
    </row>
    <row r="496" spans="1:6" customFormat="1" ht="12.75" customHeight="1" x14ac:dyDescent="0.2">
      <c r="A496" s="189" t="s">
        <v>998</v>
      </c>
      <c r="B496" s="150" t="s">
        <v>999</v>
      </c>
      <c r="C496" s="44" t="s">
        <v>998</v>
      </c>
      <c r="D496" s="263">
        <v>0</v>
      </c>
      <c r="E496" s="263">
        <v>0</v>
      </c>
      <c r="F496" s="190" t="str">
        <f t="shared" si="10"/>
        <v>-</v>
      </c>
    </row>
    <row r="497" spans="1:6" customFormat="1" ht="12.75" customHeight="1" x14ac:dyDescent="0.2">
      <c r="A497" s="189" t="s">
        <v>1000</v>
      </c>
      <c r="B497" s="150" t="s">
        <v>1001</v>
      </c>
      <c r="C497" s="44" t="s">
        <v>1000</v>
      </c>
      <c r="D497" s="263">
        <v>0</v>
      </c>
      <c r="E497" s="263">
        <v>0</v>
      </c>
      <c r="F497" s="190" t="str">
        <f t="shared" si="10"/>
        <v>-</v>
      </c>
    </row>
    <row r="498" spans="1:6" customFormat="1" ht="24" customHeight="1" x14ac:dyDescent="0.2">
      <c r="A498" s="189" t="s">
        <v>1002</v>
      </c>
      <c r="B498" s="150" t="s">
        <v>1003</v>
      </c>
      <c r="C498" s="44" t="s">
        <v>1002</v>
      </c>
      <c r="D498" s="263">
        <v>0</v>
      </c>
      <c r="E498" s="263">
        <v>0</v>
      </c>
      <c r="F498" s="190" t="str">
        <f t="shared" si="10"/>
        <v>-</v>
      </c>
    </row>
    <row r="499" spans="1:6" customFormat="1" ht="12.75" customHeight="1" x14ac:dyDescent="0.2">
      <c r="A499" s="189" t="s">
        <v>1004</v>
      </c>
      <c r="B499" s="150" t="s">
        <v>1005</v>
      </c>
      <c r="C499" s="44" t="s">
        <v>1004</v>
      </c>
      <c r="D499" s="263">
        <v>0</v>
      </c>
      <c r="E499" s="263">
        <v>0</v>
      </c>
      <c r="F499" s="190" t="str">
        <f t="shared" si="10"/>
        <v>-</v>
      </c>
    </row>
    <row r="500" spans="1:6" customFormat="1" ht="12.75" customHeight="1" x14ac:dyDescent="0.2">
      <c r="A500" s="189" t="s">
        <v>1006</v>
      </c>
      <c r="B500" s="150" t="s">
        <v>1007</v>
      </c>
      <c r="C500" s="44" t="s">
        <v>1006</v>
      </c>
      <c r="D500" s="263">
        <v>0</v>
      </c>
      <c r="E500" s="263">
        <v>0</v>
      </c>
      <c r="F500" s="190" t="str">
        <f t="shared" si="10"/>
        <v>-</v>
      </c>
    </row>
    <row r="501" spans="1:6" customFormat="1" ht="12.75" customHeight="1" x14ac:dyDescent="0.2">
      <c r="A501" s="189" t="s">
        <v>1008</v>
      </c>
      <c r="B501" s="150" t="s">
        <v>1009</v>
      </c>
      <c r="C501" s="44" t="s">
        <v>1008</v>
      </c>
      <c r="D501" s="263">
        <v>0</v>
      </c>
      <c r="E501" s="263">
        <v>0</v>
      </c>
      <c r="F501" s="190" t="str">
        <f t="shared" si="10"/>
        <v>-</v>
      </c>
    </row>
    <row r="502" spans="1:6" customFormat="1" ht="24" customHeight="1" x14ac:dyDescent="0.2">
      <c r="A502" s="189" t="s">
        <v>1010</v>
      </c>
      <c r="B502" s="195" t="s">
        <v>1011</v>
      </c>
      <c r="C502" s="44" t="s">
        <v>1010</v>
      </c>
      <c r="D502" s="262">
        <f>SUM(D503:D506)</f>
        <v>0</v>
      </c>
      <c r="E502" s="262">
        <f>SUM(E503:E506)</f>
        <v>0</v>
      </c>
      <c r="F502" s="190" t="str">
        <f t="shared" si="10"/>
        <v>-</v>
      </c>
    </row>
    <row r="503" spans="1:6" customFormat="1" ht="12.75" customHeight="1" x14ac:dyDescent="0.2">
      <c r="A503" s="189" t="s">
        <v>1012</v>
      </c>
      <c r="B503" s="150" t="s">
        <v>1013</v>
      </c>
      <c r="C503" s="44" t="s">
        <v>1012</v>
      </c>
      <c r="D503" s="263">
        <v>0</v>
      </c>
      <c r="E503" s="263">
        <v>0</v>
      </c>
      <c r="F503" s="190" t="str">
        <f t="shared" si="10"/>
        <v>-</v>
      </c>
    </row>
    <row r="504" spans="1:6" customFormat="1" ht="12.75" customHeight="1" x14ac:dyDescent="0.2">
      <c r="A504" s="189" t="s">
        <v>1014</v>
      </c>
      <c r="B504" s="150" t="s">
        <v>1015</v>
      </c>
      <c r="C504" s="44" t="s">
        <v>1014</v>
      </c>
      <c r="D504" s="263">
        <v>0</v>
      </c>
      <c r="E504" s="263">
        <v>0</v>
      </c>
      <c r="F504" s="190" t="str">
        <f t="shared" si="10"/>
        <v>-</v>
      </c>
    </row>
    <row r="505" spans="1:6" customFormat="1" ht="12.75" customHeight="1" x14ac:dyDescent="0.2">
      <c r="A505" s="189" t="s">
        <v>1016</v>
      </c>
      <c r="B505" s="150" t="s">
        <v>1017</v>
      </c>
      <c r="C505" s="44" t="s">
        <v>1016</v>
      </c>
      <c r="D505" s="263">
        <v>0</v>
      </c>
      <c r="E505" s="263">
        <v>0</v>
      </c>
      <c r="F505" s="190" t="str">
        <f t="shared" si="10"/>
        <v>-</v>
      </c>
    </row>
    <row r="506" spans="1:6" customFormat="1" ht="12.75" customHeight="1" x14ac:dyDescent="0.2">
      <c r="A506" s="189" t="s">
        <v>1018</v>
      </c>
      <c r="B506" s="150" t="s">
        <v>1019</v>
      </c>
      <c r="C506" s="44" t="s">
        <v>1018</v>
      </c>
      <c r="D506" s="263">
        <v>0</v>
      </c>
      <c r="E506" s="263">
        <v>0</v>
      </c>
      <c r="F506" s="190" t="str">
        <f t="shared" si="10"/>
        <v>-</v>
      </c>
    </row>
    <row r="507" spans="1:6" customFormat="1" ht="12.75" customHeight="1" x14ac:dyDescent="0.2">
      <c r="A507" s="189" t="s">
        <v>1020</v>
      </c>
      <c r="B507" s="150" t="s">
        <v>1021</v>
      </c>
      <c r="C507" s="44" t="s">
        <v>1020</v>
      </c>
      <c r="D507" s="262">
        <f>SUM(D508:D514)</f>
        <v>2720.7</v>
      </c>
      <c r="E507" s="262">
        <f>SUM(E508:E514)</f>
        <v>0</v>
      </c>
      <c r="F507" s="190">
        <f t="shared" si="10"/>
        <v>0</v>
      </c>
    </row>
    <row r="508" spans="1:6" customFormat="1" ht="12.75" customHeight="1" x14ac:dyDescent="0.2">
      <c r="A508" s="189" t="s">
        <v>1022</v>
      </c>
      <c r="B508" s="150" t="s">
        <v>1023</v>
      </c>
      <c r="C508" s="44" t="s">
        <v>1022</v>
      </c>
      <c r="D508" s="263">
        <v>2720.7</v>
      </c>
      <c r="E508" s="263">
        <v>0</v>
      </c>
      <c r="F508" s="190">
        <f t="shared" si="10"/>
        <v>0</v>
      </c>
    </row>
    <row r="509" spans="1:6" customFormat="1" ht="12.75" customHeight="1" x14ac:dyDescent="0.2">
      <c r="A509" s="189" t="s">
        <v>1024</v>
      </c>
      <c r="B509" s="150" t="s">
        <v>1025</v>
      </c>
      <c r="C509" s="44" t="s">
        <v>1024</v>
      </c>
      <c r="D509" s="263">
        <v>0</v>
      </c>
      <c r="E509" s="263">
        <v>0</v>
      </c>
      <c r="F509" s="190" t="str">
        <f t="shared" si="10"/>
        <v>-</v>
      </c>
    </row>
    <row r="510" spans="1:6" customFormat="1" ht="12.75" customHeight="1" x14ac:dyDescent="0.2">
      <c r="A510" s="189" t="s">
        <v>1026</v>
      </c>
      <c r="B510" s="150" t="s">
        <v>1027</v>
      </c>
      <c r="C510" s="44" t="s">
        <v>1026</v>
      </c>
      <c r="D510" s="263">
        <v>0</v>
      </c>
      <c r="E510" s="263">
        <v>0</v>
      </c>
      <c r="F510" s="190" t="str">
        <f t="shared" si="10"/>
        <v>-</v>
      </c>
    </row>
    <row r="511" spans="1:6" customFormat="1" ht="12.75" customHeight="1" x14ac:dyDescent="0.2">
      <c r="A511" s="189" t="s">
        <v>1028</v>
      </c>
      <c r="B511" s="150" t="s">
        <v>1029</v>
      </c>
      <c r="C511" s="44" t="s">
        <v>1028</v>
      </c>
      <c r="D511" s="263">
        <v>0</v>
      </c>
      <c r="E511" s="263">
        <v>0</v>
      </c>
      <c r="F511" s="190" t="str">
        <f t="shared" si="10"/>
        <v>-</v>
      </c>
    </row>
    <row r="512" spans="1:6" customFormat="1" ht="12.75" customHeight="1" x14ac:dyDescent="0.2">
      <c r="A512" s="189" t="s">
        <v>1030</v>
      </c>
      <c r="B512" s="150" t="s">
        <v>1031</v>
      </c>
      <c r="C512" s="44" t="s">
        <v>1030</v>
      </c>
      <c r="D512" s="263">
        <v>0</v>
      </c>
      <c r="E512" s="263">
        <v>0</v>
      </c>
      <c r="F512" s="190" t="str">
        <f t="shared" si="10"/>
        <v>-</v>
      </c>
    </row>
    <row r="513" spans="1:6" customFormat="1" ht="12.75" customHeight="1" x14ac:dyDescent="0.2">
      <c r="A513" s="189" t="s">
        <v>1032</v>
      </c>
      <c r="B513" s="150" t="s">
        <v>1033</v>
      </c>
      <c r="C513" s="44" t="s">
        <v>1032</v>
      </c>
      <c r="D513" s="263">
        <v>0</v>
      </c>
      <c r="E513" s="263">
        <v>0</v>
      </c>
      <c r="F513" s="190" t="str">
        <f t="shared" si="10"/>
        <v>-</v>
      </c>
    </row>
    <row r="514" spans="1:6" customFormat="1" ht="24" customHeight="1" x14ac:dyDescent="0.2">
      <c r="A514" s="189" t="s">
        <v>1034</v>
      </c>
      <c r="B514" s="150" t="s">
        <v>1035</v>
      </c>
      <c r="C514" s="44" t="s">
        <v>1034</v>
      </c>
      <c r="D514" s="263">
        <v>0</v>
      </c>
      <c r="E514" s="263">
        <v>0</v>
      </c>
      <c r="F514" s="190" t="str">
        <f t="shared" si="10"/>
        <v>-</v>
      </c>
    </row>
    <row r="515" spans="1:6" customFormat="1" ht="12.75" customHeight="1" x14ac:dyDescent="0.2">
      <c r="A515" s="189" t="s">
        <v>1036</v>
      </c>
      <c r="B515" s="150" t="s">
        <v>1037</v>
      </c>
      <c r="C515" s="44" t="s">
        <v>1036</v>
      </c>
      <c r="D515" s="262">
        <f>D516+D519+D522+D525</f>
        <v>0</v>
      </c>
      <c r="E515" s="262">
        <f>E516+E519+E522+E525</f>
        <v>0</v>
      </c>
      <c r="F515" s="190" t="str">
        <f t="shared" si="10"/>
        <v>-</v>
      </c>
    </row>
    <row r="516" spans="1:6" customFormat="1" ht="12.75" customHeight="1" x14ac:dyDescent="0.2">
      <c r="A516" s="189" t="s">
        <v>1038</v>
      </c>
      <c r="B516" s="150" t="s">
        <v>1039</v>
      </c>
      <c r="C516" s="44" t="s">
        <v>1038</v>
      </c>
      <c r="D516" s="262">
        <f>SUM(D517:D518)</f>
        <v>0</v>
      </c>
      <c r="E516" s="262">
        <f>SUM(E517:E518)</f>
        <v>0</v>
      </c>
      <c r="F516" s="190" t="str">
        <f t="shared" si="10"/>
        <v>-</v>
      </c>
    </row>
    <row r="517" spans="1:6" customFormat="1" ht="12.75" customHeight="1" x14ac:dyDescent="0.2">
      <c r="A517" s="189" t="s">
        <v>1040</v>
      </c>
      <c r="B517" s="150" t="s">
        <v>1041</v>
      </c>
      <c r="C517" s="44" t="s">
        <v>1040</v>
      </c>
      <c r="D517" s="263">
        <v>0</v>
      </c>
      <c r="E517" s="263">
        <v>0</v>
      </c>
      <c r="F517" s="190" t="str">
        <f t="shared" si="10"/>
        <v>-</v>
      </c>
    </row>
    <row r="518" spans="1:6" customFormat="1" ht="12.75" customHeight="1" x14ac:dyDescent="0.2">
      <c r="A518" s="189" t="s">
        <v>1042</v>
      </c>
      <c r="B518" s="150" t="s">
        <v>1043</v>
      </c>
      <c r="C518" s="44" t="s">
        <v>1042</v>
      </c>
      <c r="D518" s="263">
        <v>0</v>
      </c>
      <c r="E518" s="263">
        <v>0</v>
      </c>
      <c r="F518" s="190" t="str">
        <f t="shared" si="10"/>
        <v>-</v>
      </c>
    </row>
    <row r="519" spans="1:6" customFormat="1" ht="12.75" customHeight="1" x14ac:dyDescent="0.2">
      <c r="A519" s="189" t="s">
        <v>1044</v>
      </c>
      <c r="B519" s="150" t="s">
        <v>1045</v>
      </c>
      <c r="C519" s="44" t="s">
        <v>1044</v>
      </c>
      <c r="D519" s="262">
        <f>SUM(D520:D521)</f>
        <v>0</v>
      </c>
      <c r="E519" s="262">
        <f>SUM(E520:E521)</f>
        <v>0</v>
      </c>
      <c r="F519" s="190" t="str">
        <f t="shared" si="10"/>
        <v>-</v>
      </c>
    </row>
    <row r="520" spans="1:6" customFormat="1" ht="12.75" customHeight="1" x14ac:dyDescent="0.2">
      <c r="A520" s="189" t="s">
        <v>1046</v>
      </c>
      <c r="B520" s="150" t="s">
        <v>1047</v>
      </c>
      <c r="C520" s="44" t="s">
        <v>1046</v>
      </c>
      <c r="D520" s="263">
        <v>0</v>
      </c>
      <c r="E520" s="263">
        <v>0</v>
      </c>
      <c r="F520" s="190" t="str">
        <f t="shared" si="10"/>
        <v>-</v>
      </c>
    </row>
    <row r="521" spans="1:6" customFormat="1" ht="12.75" customHeight="1" x14ac:dyDescent="0.2">
      <c r="A521" s="189" t="s">
        <v>1048</v>
      </c>
      <c r="B521" s="150" t="s">
        <v>1049</v>
      </c>
      <c r="C521" s="44" t="s">
        <v>1048</v>
      </c>
      <c r="D521" s="263">
        <v>0</v>
      </c>
      <c r="E521" s="263">
        <v>0</v>
      </c>
      <c r="F521" s="190" t="str">
        <f t="shared" si="10"/>
        <v>-</v>
      </c>
    </row>
    <row r="522" spans="1:6" customFormat="1" ht="12.75" customHeight="1" x14ac:dyDescent="0.2">
      <c r="A522" s="189" t="s">
        <v>1050</v>
      </c>
      <c r="B522" s="150" t="s">
        <v>1051</v>
      </c>
      <c r="C522" s="44" t="s">
        <v>1050</v>
      </c>
      <c r="D522" s="262">
        <f>SUM(D523:D524)</f>
        <v>0</v>
      </c>
      <c r="E522" s="262">
        <f>SUM(E523:E524)</f>
        <v>0</v>
      </c>
      <c r="F522" s="190" t="str">
        <f t="shared" si="10"/>
        <v>-</v>
      </c>
    </row>
    <row r="523" spans="1:6" customFormat="1" ht="12.75" customHeight="1" x14ac:dyDescent="0.2">
      <c r="A523" s="189" t="s">
        <v>1052</v>
      </c>
      <c r="B523" s="150" t="s">
        <v>1053</v>
      </c>
      <c r="C523" s="44" t="s">
        <v>1052</v>
      </c>
      <c r="D523" s="263">
        <v>0</v>
      </c>
      <c r="E523" s="263">
        <v>0</v>
      </c>
      <c r="F523" s="190" t="str">
        <f t="shared" si="10"/>
        <v>-</v>
      </c>
    </row>
    <row r="524" spans="1:6" customFormat="1" ht="12.75" customHeight="1" x14ac:dyDescent="0.2">
      <c r="A524" s="189" t="s">
        <v>1054</v>
      </c>
      <c r="B524" s="150" t="s">
        <v>1055</v>
      </c>
      <c r="C524" s="44" t="s">
        <v>1054</v>
      </c>
      <c r="D524" s="263">
        <v>0</v>
      </c>
      <c r="E524" s="263">
        <v>0</v>
      </c>
      <c r="F524" s="190" t="str">
        <f t="shared" si="10"/>
        <v>-</v>
      </c>
    </row>
    <row r="525" spans="1:6" customFormat="1" ht="12.75" customHeight="1" x14ac:dyDescent="0.2">
      <c r="A525" s="189" t="s">
        <v>1056</v>
      </c>
      <c r="B525" s="150" t="s">
        <v>1057</v>
      </c>
      <c r="C525" s="44" t="s">
        <v>1056</v>
      </c>
      <c r="D525" s="262">
        <f>SUM(D526:D527)</f>
        <v>0</v>
      </c>
      <c r="E525" s="262">
        <f>SUM(E526:E527)</f>
        <v>0</v>
      </c>
      <c r="F525" s="190" t="str">
        <f t="shared" si="10"/>
        <v>-</v>
      </c>
    </row>
    <row r="526" spans="1:6" customFormat="1" ht="12.75" customHeight="1" x14ac:dyDescent="0.2">
      <c r="A526" s="189" t="s">
        <v>1058</v>
      </c>
      <c r="B526" s="150" t="s">
        <v>1059</v>
      </c>
      <c r="C526" s="44" t="s">
        <v>1058</v>
      </c>
      <c r="D526" s="263">
        <v>0</v>
      </c>
      <c r="E526" s="263">
        <v>0</v>
      </c>
      <c r="F526" s="190" t="str">
        <f t="shared" si="10"/>
        <v>-</v>
      </c>
    </row>
    <row r="527" spans="1:6" customFormat="1" ht="12.75" customHeight="1" x14ac:dyDescent="0.2">
      <c r="A527" s="189" t="s">
        <v>1060</v>
      </c>
      <c r="B527" s="150" t="s">
        <v>1061</v>
      </c>
      <c r="C527" s="44" t="s">
        <v>1060</v>
      </c>
      <c r="D527" s="263">
        <v>0</v>
      </c>
      <c r="E527" s="263">
        <v>0</v>
      </c>
      <c r="F527" s="190" t="str">
        <f t="shared" si="10"/>
        <v>-</v>
      </c>
    </row>
    <row r="528" spans="1:6" customFormat="1" ht="12.75" customHeight="1" x14ac:dyDescent="0.2">
      <c r="A528" s="189" t="s">
        <v>1062</v>
      </c>
      <c r="B528" s="150" t="s">
        <v>1063</v>
      </c>
      <c r="C528" s="44" t="s">
        <v>1062</v>
      </c>
      <c r="D528" s="262">
        <f>D529+D567+D580+D593+D625</f>
        <v>9794.7199999999993</v>
      </c>
      <c r="E528" s="262">
        <f>E529+E567+E580+E593+E625</f>
        <v>2720.72</v>
      </c>
      <c r="F528" s="190">
        <f t="shared" si="10"/>
        <v>27.77741477040691</v>
      </c>
    </row>
    <row r="529" spans="1:6" customFormat="1" ht="24" customHeight="1" x14ac:dyDescent="0.2">
      <c r="A529" s="189" t="s">
        <v>1064</v>
      </c>
      <c r="B529" s="150" t="s">
        <v>1065</v>
      </c>
      <c r="C529" s="44" t="s">
        <v>1064</v>
      </c>
      <c r="D529" s="262">
        <f>D530+D535+D538+D542+D543+D550+D555+D563</f>
        <v>0</v>
      </c>
      <c r="E529" s="262">
        <f>E530+E535+E538+E542+E543+E550+E555+E563</f>
        <v>0</v>
      </c>
      <c r="F529" s="190" t="str">
        <f t="shared" si="10"/>
        <v>-</v>
      </c>
    </row>
    <row r="530" spans="1:6" customFormat="1" ht="24" customHeight="1" x14ac:dyDescent="0.2">
      <c r="A530" s="189" t="s">
        <v>1066</v>
      </c>
      <c r="B530" s="150" t="s">
        <v>1067</v>
      </c>
      <c r="C530" s="44" t="s">
        <v>1066</v>
      </c>
      <c r="D530" s="262">
        <f>SUM(D531:D534)</f>
        <v>0</v>
      </c>
      <c r="E530" s="262">
        <f>SUM(E531:E534)</f>
        <v>0</v>
      </c>
      <c r="F530" s="190" t="str">
        <f t="shared" si="10"/>
        <v>-</v>
      </c>
    </row>
    <row r="531" spans="1:6" customFormat="1" ht="12.75" customHeight="1" x14ac:dyDescent="0.2">
      <c r="A531" s="189" t="s">
        <v>1068</v>
      </c>
      <c r="B531" s="150" t="s">
        <v>1069</v>
      </c>
      <c r="C531" s="44" t="s">
        <v>1068</v>
      </c>
      <c r="D531" s="263">
        <v>0</v>
      </c>
      <c r="E531" s="263">
        <v>0</v>
      </c>
      <c r="F531" s="190" t="str">
        <f t="shared" si="10"/>
        <v>-</v>
      </c>
    </row>
    <row r="532" spans="1:6" customFormat="1" ht="12.75" customHeight="1" x14ac:dyDescent="0.2">
      <c r="A532" s="189" t="s">
        <v>1070</v>
      </c>
      <c r="B532" s="150" t="s">
        <v>1071</v>
      </c>
      <c r="C532" s="44" t="s">
        <v>1070</v>
      </c>
      <c r="D532" s="263">
        <v>0</v>
      </c>
      <c r="E532" s="263">
        <v>0</v>
      </c>
      <c r="F532" s="190" t="str">
        <f t="shared" si="10"/>
        <v>-</v>
      </c>
    </row>
    <row r="533" spans="1:6" customFormat="1" ht="12.75" customHeight="1" x14ac:dyDescent="0.2">
      <c r="A533" s="189" t="s">
        <v>1072</v>
      </c>
      <c r="B533" s="150" t="s">
        <v>1073</v>
      </c>
      <c r="C533" s="44" t="s">
        <v>1072</v>
      </c>
      <c r="D533" s="263">
        <v>0</v>
      </c>
      <c r="E533" s="263">
        <v>0</v>
      </c>
      <c r="F533" s="190" t="str">
        <f t="shared" si="10"/>
        <v>-</v>
      </c>
    </row>
    <row r="534" spans="1:6" customFormat="1" ht="12.75" customHeight="1" x14ac:dyDescent="0.2">
      <c r="A534" s="189" t="s">
        <v>1074</v>
      </c>
      <c r="B534" s="150" t="s">
        <v>1075</v>
      </c>
      <c r="C534" s="44" t="s">
        <v>1074</v>
      </c>
      <c r="D534" s="263">
        <v>0</v>
      </c>
      <c r="E534" s="263">
        <v>0</v>
      </c>
      <c r="F534" s="190" t="str">
        <f t="shared" si="10"/>
        <v>-</v>
      </c>
    </row>
    <row r="535" spans="1:6" customFormat="1" ht="24" customHeight="1" x14ac:dyDescent="0.2">
      <c r="A535" s="189" t="s">
        <v>1076</v>
      </c>
      <c r="B535" s="195" t="s">
        <v>1077</v>
      </c>
      <c r="C535" s="44" t="s">
        <v>1076</v>
      </c>
      <c r="D535" s="262">
        <f>SUM(D536:D537)</f>
        <v>0</v>
      </c>
      <c r="E535" s="262">
        <f>SUM(E536:E537)</f>
        <v>0</v>
      </c>
      <c r="F535" s="190" t="str">
        <f t="shared" si="10"/>
        <v>-</v>
      </c>
    </row>
    <row r="536" spans="1:6" customFormat="1" ht="24" customHeight="1" x14ac:dyDescent="0.2">
      <c r="A536" s="189" t="s">
        <v>1078</v>
      </c>
      <c r="B536" s="150" t="s">
        <v>1079</v>
      </c>
      <c r="C536" s="44" t="s">
        <v>1078</v>
      </c>
      <c r="D536" s="263">
        <v>0</v>
      </c>
      <c r="E536" s="263">
        <v>0</v>
      </c>
      <c r="F536" s="190" t="str">
        <f t="shared" si="10"/>
        <v>-</v>
      </c>
    </row>
    <row r="537" spans="1:6" customFormat="1" ht="24" customHeight="1" x14ac:dyDescent="0.2">
      <c r="A537" s="189" t="s">
        <v>1080</v>
      </c>
      <c r="B537" s="150" t="s">
        <v>1081</v>
      </c>
      <c r="C537" s="44" t="s">
        <v>1080</v>
      </c>
      <c r="D537" s="263">
        <v>0</v>
      </c>
      <c r="E537" s="263">
        <v>0</v>
      </c>
      <c r="F537" s="190" t="str">
        <f t="shared" si="10"/>
        <v>-</v>
      </c>
    </row>
    <row r="538" spans="1:6" customFormat="1" ht="24" customHeight="1" x14ac:dyDescent="0.2">
      <c r="A538" s="189" t="s">
        <v>1082</v>
      </c>
      <c r="B538" s="150" t="s">
        <v>1083</v>
      </c>
      <c r="C538" s="44" t="s">
        <v>1082</v>
      </c>
      <c r="D538" s="262">
        <f>SUM(D539:D541)</f>
        <v>0</v>
      </c>
      <c r="E538" s="262">
        <f>SUM(E539:E541)</f>
        <v>0</v>
      </c>
      <c r="F538" s="190" t="str">
        <f t="shared" si="10"/>
        <v>-</v>
      </c>
    </row>
    <row r="539" spans="1:6" customFormat="1" ht="12.75" customHeight="1" x14ac:dyDescent="0.2">
      <c r="A539" s="189" t="s">
        <v>1084</v>
      </c>
      <c r="B539" s="150" t="s">
        <v>1085</v>
      </c>
      <c r="C539" s="44" t="s">
        <v>1084</v>
      </c>
      <c r="D539" s="263">
        <v>0</v>
      </c>
      <c r="E539" s="263">
        <v>0</v>
      </c>
      <c r="F539" s="190" t="str">
        <f t="shared" si="10"/>
        <v>-</v>
      </c>
    </row>
    <row r="540" spans="1:6" customFormat="1" ht="12.75" customHeight="1" x14ac:dyDescent="0.2">
      <c r="A540" s="201" t="s">
        <v>1086</v>
      </c>
      <c r="B540" s="150" t="s">
        <v>1087</v>
      </c>
      <c r="C540" s="46" t="s">
        <v>1086</v>
      </c>
      <c r="D540" s="263">
        <v>0</v>
      </c>
      <c r="E540" s="263">
        <v>0</v>
      </c>
      <c r="F540" s="190" t="str">
        <f t="shared" si="10"/>
        <v>-</v>
      </c>
    </row>
    <row r="541" spans="1:6" customFormat="1" ht="12.75" customHeight="1" x14ac:dyDescent="0.2">
      <c r="A541" s="201" t="s">
        <v>1088</v>
      </c>
      <c r="B541" s="150" t="s">
        <v>1089</v>
      </c>
      <c r="C541" s="46" t="s">
        <v>1088</v>
      </c>
      <c r="D541" s="263">
        <v>0</v>
      </c>
      <c r="E541" s="263">
        <v>0</v>
      </c>
      <c r="F541" s="190" t="str">
        <f t="shared" si="10"/>
        <v>-</v>
      </c>
    </row>
    <row r="542" spans="1:6" customFormat="1" ht="12.75" customHeight="1" x14ac:dyDescent="0.2">
      <c r="A542" s="189" t="s">
        <v>1090</v>
      </c>
      <c r="B542" s="195" t="s">
        <v>1091</v>
      </c>
      <c r="C542" s="44" t="s">
        <v>1090</v>
      </c>
      <c r="D542" s="263">
        <v>0</v>
      </c>
      <c r="E542" s="263">
        <v>0</v>
      </c>
      <c r="F542" s="190" t="str">
        <f t="shared" si="10"/>
        <v>-</v>
      </c>
    </row>
    <row r="543" spans="1:6" customFormat="1" ht="24" customHeight="1" x14ac:dyDescent="0.2">
      <c r="A543" s="189" t="s">
        <v>1092</v>
      </c>
      <c r="B543" s="150" t="s">
        <v>1093</v>
      </c>
      <c r="C543" s="44" t="s">
        <v>1092</v>
      </c>
      <c r="D543" s="262">
        <f>SUM(D544:D549)</f>
        <v>0</v>
      </c>
      <c r="E543" s="262">
        <f>SUM(E544:E549)</f>
        <v>0</v>
      </c>
      <c r="F543" s="190" t="str">
        <f t="shared" si="10"/>
        <v>-</v>
      </c>
    </row>
    <row r="544" spans="1:6" customFormat="1" ht="12.75" customHeight="1" x14ac:dyDescent="0.2">
      <c r="A544" s="189" t="s">
        <v>1094</v>
      </c>
      <c r="B544" s="150" t="s">
        <v>1095</v>
      </c>
      <c r="C544" s="44" t="s">
        <v>1094</v>
      </c>
      <c r="D544" s="263">
        <v>0</v>
      </c>
      <c r="E544" s="263">
        <v>0</v>
      </c>
      <c r="F544" s="190" t="str">
        <f t="shared" si="10"/>
        <v>-</v>
      </c>
    </row>
    <row r="545" spans="1:6" customFormat="1" ht="12.75" customHeight="1" x14ac:dyDescent="0.2">
      <c r="A545" s="189" t="s">
        <v>1096</v>
      </c>
      <c r="B545" s="150" t="s">
        <v>1097</v>
      </c>
      <c r="C545" s="44" t="s">
        <v>1096</v>
      </c>
      <c r="D545" s="263">
        <v>0</v>
      </c>
      <c r="E545" s="263">
        <v>0</v>
      </c>
      <c r="F545" s="190" t="str">
        <f t="shared" si="10"/>
        <v>-</v>
      </c>
    </row>
    <row r="546" spans="1:6" customFormat="1" ht="24" customHeight="1" x14ac:dyDescent="0.2">
      <c r="A546" s="189" t="s">
        <v>1098</v>
      </c>
      <c r="B546" s="150" t="s">
        <v>1099</v>
      </c>
      <c r="C546" s="44" t="s">
        <v>1098</v>
      </c>
      <c r="D546" s="263">
        <v>0</v>
      </c>
      <c r="E546" s="263">
        <v>0</v>
      </c>
      <c r="F546" s="190" t="str">
        <f t="shared" si="10"/>
        <v>-</v>
      </c>
    </row>
    <row r="547" spans="1:6" customFormat="1" ht="12.75" customHeight="1" x14ac:dyDescent="0.2">
      <c r="A547" s="189" t="s">
        <v>1100</v>
      </c>
      <c r="B547" s="150" t="s">
        <v>1101</v>
      </c>
      <c r="C547" s="44" t="s">
        <v>1100</v>
      </c>
      <c r="D547" s="263">
        <v>0</v>
      </c>
      <c r="E547" s="263">
        <v>0</v>
      </c>
      <c r="F547" s="190" t="str">
        <f t="shared" si="10"/>
        <v>-</v>
      </c>
    </row>
    <row r="548" spans="1:6" customFormat="1" ht="12.75" customHeight="1" x14ac:dyDescent="0.2">
      <c r="A548" s="189" t="s">
        <v>1102</v>
      </c>
      <c r="B548" s="150" t="s">
        <v>1103</v>
      </c>
      <c r="C548" s="44" t="s">
        <v>1102</v>
      </c>
      <c r="D548" s="263">
        <v>0</v>
      </c>
      <c r="E548" s="263">
        <v>0</v>
      </c>
      <c r="F548" s="190" t="str">
        <f t="shared" ref="F548:F611" si="11">IF(D548&lt;&gt;0,IF(E548/D548&gt;=100,"&gt;&gt;100",E548/D548*100),"-")</f>
        <v>-</v>
      </c>
    </row>
    <row r="549" spans="1:6" customFormat="1" ht="12.75" customHeight="1" x14ac:dyDescent="0.2">
      <c r="A549" s="189" t="s">
        <v>1104</v>
      </c>
      <c r="B549" s="150" t="s">
        <v>1105</v>
      </c>
      <c r="C549" s="44" t="s">
        <v>1104</v>
      </c>
      <c r="D549" s="263">
        <v>0</v>
      </c>
      <c r="E549" s="263">
        <v>0</v>
      </c>
      <c r="F549" s="190" t="str">
        <f t="shared" si="11"/>
        <v>-</v>
      </c>
    </row>
    <row r="550" spans="1:6" customFormat="1" ht="24" customHeight="1" x14ac:dyDescent="0.2">
      <c r="A550" s="189" t="s">
        <v>1106</v>
      </c>
      <c r="B550" s="195" t="s">
        <v>1107</v>
      </c>
      <c r="C550" s="44" t="s">
        <v>1106</v>
      </c>
      <c r="D550" s="262">
        <f>SUM(D551:D554)</f>
        <v>0</v>
      </c>
      <c r="E550" s="262">
        <f>SUM(E551:E554)</f>
        <v>0</v>
      </c>
      <c r="F550" s="190" t="str">
        <f t="shared" si="11"/>
        <v>-</v>
      </c>
    </row>
    <row r="551" spans="1:6" customFormat="1" ht="12.75" customHeight="1" x14ac:dyDescent="0.2">
      <c r="A551" s="189" t="s">
        <v>1108</v>
      </c>
      <c r="B551" s="150" t="s">
        <v>1109</v>
      </c>
      <c r="C551" s="44" t="s">
        <v>1108</v>
      </c>
      <c r="D551" s="263">
        <v>0</v>
      </c>
      <c r="E551" s="263">
        <v>0</v>
      </c>
      <c r="F551" s="190" t="str">
        <f t="shared" si="11"/>
        <v>-</v>
      </c>
    </row>
    <row r="552" spans="1:6" customFormat="1" ht="12.75" customHeight="1" x14ac:dyDescent="0.2">
      <c r="A552" s="189" t="s">
        <v>1110</v>
      </c>
      <c r="B552" s="150" t="s">
        <v>1111</v>
      </c>
      <c r="C552" s="44" t="s">
        <v>1110</v>
      </c>
      <c r="D552" s="263">
        <v>0</v>
      </c>
      <c r="E552" s="263">
        <v>0</v>
      </c>
      <c r="F552" s="190" t="str">
        <f t="shared" si="11"/>
        <v>-</v>
      </c>
    </row>
    <row r="553" spans="1:6" customFormat="1" ht="12.75" customHeight="1" x14ac:dyDescent="0.2">
      <c r="A553" s="189" t="s">
        <v>1112</v>
      </c>
      <c r="B553" s="150" t="s">
        <v>1113</v>
      </c>
      <c r="C553" s="44" t="s">
        <v>1112</v>
      </c>
      <c r="D553" s="263">
        <v>0</v>
      </c>
      <c r="E553" s="263">
        <v>0</v>
      </c>
      <c r="F553" s="190" t="str">
        <f t="shared" si="11"/>
        <v>-</v>
      </c>
    </row>
    <row r="554" spans="1:6" customFormat="1" ht="12.75" customHeight="1" x14ac:dyDescent="0.2">
      <c r="A554" s="189" t="s">
        <v>1114</v>
      </c>
      <c r="B554" s="150" t="s">
        <v>1115</v>
      </c>
      <c r="C554" s="44" t="s">
        <v>1114</v>
      </c>
      <c r="D554" s="263">
        <v>0</v>
      </c>
      <c r="E554" s="263">
        <v>0</v>
      </c>
      <c r="F554" s="190" t="str">
        <f t="shared" si="11"/>
        <v>-</v>
      </c>
    </row>
    <row r="555" spans="1:6" customFormat="1" ht="12.75" customHeight="1" x14ac:dyDescent="0.2">
      <c r="A555" s="189" t="s">
        <v>1116</v>
      </c>
      <c r="B555" s="150" t="s">
        <v>1117</v>
      </c>
      <c r="C555" s="44" t="s">
        <v>1116</v>
      </c>
      <c r="D555" s="262">
        <f>SUM(D556:D562)</f>
        <v>0</v>
      </c>
      <c r="E555" s="262">
        <f>SUM(E556:E562)</f>
        <v>0</v>
      </c>
      <c r="F555" s="190" t="str">
        <f t="shared" si="11"/>
        <v>-</v>
      </c>
    </row>
    <row r="556" spans="1:6" customFormat="1" ht="12.75" customHeight="1" x14ac:dyDescent="0.2">
      <c r="A556" s="189" t="s">
        <v>1118</v>
      </c>
      <c r="B556" s="150" t="s">
        <v>1119</v>
      </c>
      <c r="C556" s="44" t="s">
        <v>1118</v>
      </c>
      <c r="D556" s="263">
        <v>0</v>
      </c>
      <c r="E556" s="263">
        <v>0</v>
      </c>
      <c r="F556" s="190" t="str">
        <f t="shared" si="11"/>
        <v>-</v>
      </c>
    </row>
    <row r="557" spans="1:6" customFormat="1" ht="12.75" customHeight="1" x14ac:dyDescent="0.2">
      <c r="A557" s="189" t="s">
        <v>1120</v>
      </c>
      <c r="B557" s="150" t="s">
        <v>1121</v>
      </c>
      <c r="C557" s="44" t="s">
        <v>1120</v>
      </c>
      <c r="D557" s="263">
        <v>0</v>
      </c>
      <c r="E557" s="263">
        <v>0</v>
      </c>
      <c r="F557" s="190" t="str">
        <f t="shared" si="11"/>
        <v>-</v>
      </c>
    </row>
    <row r="558" spans="1:6" customFormat="1" ht="12.75" customHeight="1" x14ac:dyDescent="0.2">
      <c r="A558" s="189" t="s">
        <v>1122</v>
      </c>
      <c r="B558" s="150" t="s">
        <v>1123</v>
      </c>
      <c r="C558" s="44" t="s">
        <v>1122</v>
      </c>
      <c r="D558" s="263">
        <v>0</v>
      </c>
      <c r="E558" s="263">
        <v>0</v>
      </c>
      <c r="F558" s="190" t="str">
        <f t="shared" si="11"/>
        <v>-</v>
      </c>
    </row>
    <row r="559" spans="1:6" customFormat="1" ht="12.75" customHeight="1" x14ac:dyDescent="0.2">
      <c r="A559" s="189" t="s">
        <v>1124</v>
      </c>
      <c r="B559" s="150" t="s">
        <v>1125</v>
      </c>
      <c r="C559" s="44" t="s">
        <v>1124</v>
      </c>
      <c r="D559" s="263">
        <v>0</v>
      </c>
      <c r="E559" s="263">
        <v>0</v>
      </c>
      <c r="F559" s="190" t="str">
        <f t="shared" si="11"/>
        <v>-</v>
      </c>
    </row>
    <row r="560" spans="1:6" customFormat="1" ht="12.75" customHeight="1" x14ac:dyDescent="0.2">
      <c r="A560" s="189" t="s">
        <v>1126</v>
      </c>
      <c r="B560" s="150" t="s">
        <v>1127</v>
      </c>
      <c r="C560" s="44" t="s">
        <v>1126</v>
      </c>
      <c r="D560" s="263">
        <v>0</v>
      </c>
      <c r="E560" s="263">
        <v>0</v>
      </c>
      <c r="F560" s="190" t="str">
        <f t="shared" si="11"/>
        <v>-</v>
      </c>
    </row>
    <row r="561" spans="1:6" customFormat="1" ht="12.75" customHeight="1" x14ac:dyDescent="0.2">
      <c r="A561" s="189" t="s">
        <v>1128</v>
      </c>
      <c r="B561" s="150" t="s">
        <v>1129</v>
      </c>
      <c r="C561" s="44" t="s">
        <v>1128</v>
      </c>
      <c r="D561" s="263">
        <v>0</v>
      </c>
      <c r="E561" s="263">
        <v>0</v>
      </c>
      <c r="F561" s="190" t="str">
        <f t="shared" si="11"/>
        <v>-</v>
      </c>
    </row>
    <row r="562" spans="1:6" customFormat="1" ht="24" customHeight="1" x14ac:dyDescent="0.2">
      <c r="A562" s="189" t="s">
        <v>1130</v>
      </c>
      <c r="B562" s="195" t="s">
        <v>1131</v>
      </c>
      <c r="C562" s="44" t="s">
        <v>1130</v>
      </c>
      <c r="D562" s="263">
        <v>0</v>
      </c>
      <c r="E562" s="263">
        <v>0</v>
      </c>
      <c r="F562" s="190" t="str">
        <f t="shared" si="11"/>
        <v>-</v>
      </c>
    </row>
    <row r="563" spans="1:6" customFormat="1" ht="12.75" customHeight="1" x14ac:dyDescent="0.2">
      <c r="A563" s="189" t="s">
        <v>1132</v>
      </c>
      <c r="B563" s="150" t="s">
        <v>1133</v>
      </c>
      <c r="C563" s="44" t="s">
        <v>1132</v>
      </c>
      <c r="D563" s="262">
        <f>SUM(D564:D566)</f>
        <v>0</v>
      </c>
      <c r="E563" s="262">
        <f>SUM(E564:E566)</f>
        <v>0</v>
      </c>
      <c r="F563" s="190" t="str">
        <f t="shared" si="11"/>
        <v>-</v>
      </c>
    </row>
    <row r="564" spans="1:6" customFormat="1" ht="12.75" customHeight="1" x14ac:dyDescent="0.2">
      <c r="A564" s="189" t="s">
        <v>1134</v>
      </c>
      <c r="B564" s="150" t="s">
        <v>1135</v>
      </c>
      <c r="C564" s="44" t="s">
        <v>1134</v>
      </c>
      <c r="D564" s="263">
        <v>0</v>
      </c>
      <c r="E564" s="263">
        <v>0</v>
      </c>
      <c r="F564" s="190" t="str">
        <f t="shared" si="11"/>
        <v>-</v>
      </c>
    </row>
    <row r="565" spans="1:6" customFormat="1" ht="12.75" customHeight="1" x14ac:dyDescent="0.2">
      <c r="A565" s="189" t="s">
        <v>1136</v>
      </c>
      <c r="B565" s="150" t="s">
        <v>1137</v>
      </c>
      <c r="C565" s="44" t="s">
        <v>1136</v>
      </c>
      <c r="D565" s="263">
        <v>0</v>
      </c>
      <c r="E565" s="263">
        <v>0</v>
      </c>
      <c r="F565" s="190" t="str">
        <f t="shared" si="11"/>
        <v>-</v>
      </c>
    </row>
    <row r="566" spans="1:6" customFormat="1" ht="12.75" customHeight="1" x14ac:dyDescent="0.2">
      <c r="A566" s="189" t="s">
        <v>1138</v>
      </c>
      <c r="B566" s="150" t="s">
        <v>1139</v>
      </c>
      <c r="C566" s="44" t="s">
        <v>1138</v>
      </c>
      <c r="D566" s="263">
        <v>0</v>
      </c>
      <c r="E566" s="263">
        <v>0</v>
      </c>
      <c r="F566" s="190" t="str">
        <f t="shared" si="11"/>
        <v>-</v>
      </c>
    </row>
    <row r="567" spans="1:6" customFormat="1" ht="12.75" customHeight="1" x14ac:dyDescent="0.2">
      <c r="A567" s="189" t="s">
        <v>1140</v>
      </c>
      <c r="B567" s="150" t="s">
        <v>1141</v>
      </c>
      <c r="C567" s="44" t="s">
        <v>1140</v>
      </c>
      <c r="D567" s="262">
        <f>D568+D571+D574+D577</f>
        <v>0</v>
      </c>
      <c r="E567" s="262">
        <f>E568+E571+E574+E577</f>
        <v>0</v>
      </c>
      <c r="F567" s="190" t="str">
        <f t="shared" si="11"/>
        <v>-</v>
      </c>
    </row>
    <row r="568" spans="1:6" customFormat="1" ht="12.75" customHeight="1" x14ac:dyDescent="0.2">
      <c r="A568" s="189" t="s">
        <v>1142</v>
      </c>
      <c r="B568" s="150" t="s">
        <v>1143</v>
      </c>
      <c r="C568" s="44" t="s">
        <v>1142</v>
      </c>
      <c r="D568" s="262">
        <f>SUM(D569:D570)</f>
        <v>0</v>
      </c>
      <c r="E568" s="262">
        <f>SUM(E569:E570)</f>
        <v>0</v>
      </c>
      <c r="F568" s="190" t="str">
        <f t="shared" si="11"/>
        <v>-</v>
      </c>
    </row>
    <row r="569" spans="1:6" customFormat="1" ht="12.75" customHeight="1" x14ac:dyDescent="0.2">
      <c r="A569" s="189" t="s">
        <v>1144</v>
      </c>
      <c r="B569" s="150" t="s">
        <v>1145</v>
      </c>
      <c r="C569" s="44" t="s">
        <v>1144</v>
      </c>
      <c r="D569" s="263">
        <v>0</v>
      </c>
      <c r="E569" s="263">
        <v>0</v>
      </c>
      <c r="F569" s="190" t="str">
        <f t="shared" si="11"/>
        <v>-</v>
      </c>
    </row>
    <row r="570" spans="1:6" customFormat="1" ht="12.75" customHeight="1" x14ac:dyDescent="0.2">
      <c r="A570" s="189" t="s">
        <v>1146</v>
      </c>
      <c r="B570" s="150" t="s">
        <v>1147</v>
      </c>
      <c r="C570" s="44" t="s">
        <v>1146</v>
      </c>
      <c r="D570" s="263">
        <v>0</v>
      </c>
      <c r="E570" s="263">
        <v>0</v>
      </c>
      <c r="F570" s="190" t="str">
        <f t="shared" si="11"/>
        <v>-</v>
      </c>
    </row>
    <row r="571" spans="1:6" customFormat="1" ht="12.75" customHeight="1" x14ac:dyDescent="0.2">
      <c r="A571" s="189" t="s">
        <v>1148</v>
      </c>
      <c r="B571" s="150" t="s">
        <v>1149</v>
      </c>
      <c r="C571" s="44" t="s">
        <v>1148</v>
      </c>
      <c r="D571" s="262">
        <f>SUM(D572:D573)</f>
        <v>0</v>
      </c>
      <c r="E571" s="262">
        <f>SUM(E572:E573)</f>
        <v>0</v>
      </c>
      <c r="F571" s="190" t="str">
        <f t="shared" si="11"/>
        <v>-</v>
      </c>
    </row>
    <row r="572" spans="1:6" customFormat="1" ht="12.75" customHeight="1" x14ac:dyDescent="0.2">
      <c r="A572" s="189" t="s">
        <v>1150</v>
      </c>
      <c r="B572" s="150" t="s">
        <v>935</v>
      </c>
      <c r="C572" s="44" t="s">
        <v>1150</v>
      </c>
      <c r="D572" s="263">
        <v>0</v>
      </c>
      <c r="E572" s="263">
        <v>0</v>
      </c>
      <c r="F572" s="190" t="str">
        <f t="shared" si="11"/>
        <v>-</v>
      </c>
    </row>
    <row r="573" spans="1:6" customFormat="1" ht="12.75" customHeight="1" x14ac:dyDescent="0.2">
      <c r="A573" s="189" t="s">
        <v>1151</v>
      </c>
      <c r="B573" s="150" t="s">
        <v>937</v>
      </c>
      <c r="C573" s="44" t="s">
        <v>1151</v>
      </c>
      <c r="D573" s="263">
        <v>0</v>
      </c>
      <c r="E573" s="263">
        <v>0</v>
      </c>
      <c r="F573" s="190" t="str">
        <f t="shared" si="11"/>
        <v>-</v>
      </c>
    </row>
    <row r="574" spans="1:6" customFormat="1" ht="12.75" customHeight="1" x14ac:dyDescent="0.2">
      <c r="A574" s="189" t="s">
        <v>1152</v>
      </c>
      <c r="B574" s="150" t="s">
        <v>1153</v>
      </c>
      <c r="C574" s="44" t="s">
        <v>1152</v>
      </c>
      <c r="D574" s="262">
        <f>SUM(D575:D576)</f>
        <v>0</v>
      </c>
      <c r="E574" s="262">
        <f>SUM(E575:E576)</f>
        <v>0</v>
      </c>
      <c r="F574" s="190" t="str">
        <f t="shared" si="11"/>
        <v>-</v>
      </c>
    </row>
    <row r="575" spans="1:6" customFormat="1" ht="12.75" customHeight="1" x14ac:dyDescent="0.2">
      <c r="A575" s="189" t="s">
        <v>1154</v>
      </c>
      <c r="B575" s="150" t="s">
        <v>941</v>
      </c>
      <c r="C575" s="44" t="s">
        <v>1154</v>
      </c>
      <c r="D575" s="263">
        <v>0</v>
      </c>
      <c r="E575" s="263">
        <v>0</v>
      </c>
      <c r="F575" s="190" t="str">
        <f t="shared" si="11"/>
        <v>-</v>
      </c>
    </row>
    <row r="576" spans="1:6" customFormat="1" ht="12.75" customHeight="1" x14ac:dyDescent="0.2">
      <c r="A576" s="189" t="s">
        <v>1155</v>
      </c>
      <c r="B576" s="150" t="s">
        <v>943</v>
      </c>
      <c r="C576" s="44" t="s">
        <v>1155</v>
      </c>
      <c r="D576" s="263">
        <v>0</v>
      </c>
      <c r="E576" s="263">
        <v>0</v>
      </c>
      <c r="F576" s="190" t="str">
        <f t="shared" si="11"/>
        <v>-</v>
      </c>
    </row>
    <row r="577" spans="1:6" customFormat="1" ht="12.75" customHeight="1" x14ac:dyDescent="0.2">
      <c r="A577" s="189" t="s">
        <v>1156</v>
      </c>
      <c r="B577" s="150" t="s">
        <v>1157</v>
      </c>
      <c r="C577" s="44" t="s">
        <v>1156</v>
      </c>
      <c r="D577" s="262">
        <f>SUM(D578:D579)</f>
        <v>0</v>
      </c>
      <c r="E577" s="262">
        <f>SUM(E578:E579)</f>
        <v>0</v>
      </c>
      <c r="F577" s="190" t="str">
        <f t="shared" si="11"/>
        <v>-</v>
      </c>
    </row>
    <row r="578" spans="1:6" customFormat="1" ht="12.75" customHeight="1" x14ac:dyDescent="0.2">
      <c r="A578" s="201" t="s">
        <v>1158</v>
      </c>
      <c r="B578" s="150" t="s">
        <v>1159</v>
      </c>
      <c r="C578" s="46" t="s">
        <v>1158</v>
      </c>
      <c r="D578" s="263">
        <v>0</v>
      </c>
      <c r="E578" s="263">
        <v>0</v>
      </c>
      <c r="F578" s="190" t="str">
        <f t="shared" si="11"/>
        <v>-</v>
      </c>
    </row>
    <row r="579" spans="1:6" customFormat="1" ht="12.75" customHeight="1" x14ac:dyDescent="0.2">
      <c r="A579" s="201" t="s">
        <v>1160</v>
      </c>
      <c r="B579" s="150" t="s">
        <v>1061</v>
      </c>
      <c r="C579" s="46" t="s">
        <v>1160</v>
      </c>
      <c r="D579" s="263">
        <v>0</v>
      </c>
      <c r="E579" s="263">
        <v>0</v>
      </c>
      <c r="F579" s="190" t="str">
        <f t="shared" si="11"/>
        <v>-</v>
      </c>
    </row>
    <row r="580" spans="1:6" customFormat="1" ht="12.75" customHeight="1" x14ac:dyDescent="0.2">
      <c r="A580" s="189" t="s">
        <v>1161</v>
      </c>
      <c r="B580" s="150" t="s">
        <v>1162</v>
      </c>
      <c r="C580" s="44" t="s">
        <v>1161</v>
      </c>
      <c r="D580" s="262">
        <f>D581+D585+D587+D590</f>
        <v>0</v>
      </c>
      <c r="E580" s="262">
        <f>E581+E585+E587+E590</f>
        <v>0</v>
      </c>
      <c r="F580" s="190" t="str">
        <f t="shared" si="11"/>
        <v>-</v>
      </c>
    </row>
    <row r="581" spans="1:6" customFormat="1" ht="24" customHeight="1" x14ac:dyDescent="0.2">
      <c r="A581" s="189" t="s">
        <v>1163</v>
      </c>
      <c r="B581" s="195" t="s">
        <v>1164</v>
      </c>
      <c r="C581" s="44" t="s">
        <v>1163</v>
      </c>
      <c r="D581" s="262">
        <f>SUM(D582:D584)</f>
        <v>0</v>
      </c>
      <c r="E581" s="262">
        <f>SUM(E582:E584)</f>
        <v>0</v>
      </c>
      <c r="F581" s="190" t="str">
        <f t="shared" si="11"/>
        <v>-</v>
      </c>
    </row>
    <row r="582" spans="1:6" customFormat="1" ht="12.75" customHeight="1" x14ac:dyDescent="0.2">
      <c r="A582" s="189" t="s">
        <v>1165</v>
      </c>
      <c r="B582" s="150" t="s">
        <v>955</v>
      </c>
      <c r="C582" s="44" t="s">
        <v>1165</v>
      </c>
      <c r="D582" s="263">
        <v>0</v>
      </c>
      <c r="E582" s="263">
        <v>0</v>
      </c>
      <c r="F582" s="190" t="str">
        <f t="shared" si="11"/>
        <v>-</v>
      </c>
    </row>
    <row r="583" spans="1:6" customFormat="1" ht="12.75" customHeight="1" x14ac:dyDescent="0.2">
      <c r="A583" s="189" t="s">
        <v>1166</v>
      </c>
      <c r="B583" s="150" t="s">
        <v>957</v>
      </c>
      <c r="C583" s="44" t="s">
        <v>1166</v>
      </c>
      <c r="D583" s="263">
        <v>0</v>
      </c>
      <c r="E583" s="263">
        <v>0</v>
      </c>
      <c r="F583" s="190" t="str">
        <f t="shared" si="11"/>
        <v>-</v>
      </c>
    </row>
    <row r="584" spans="1:6" customFormat="1" ht="12.75" customHeight="1" x14ac:dyDescent="0.2">
      <c r="A584" s="189" t="s">
        <v>1167</v>
      </c>
      <c r="B584" s="150" t="s">
        <v>959</v>
      </c>
      <c r="C584" s="44" t="s">
        <v>1167</v>
      </c>
      <c r="D584" s="263">
        <v>0</v>
      </c>
      <c r="E584" s="263">
        <v>0</v>
      </c>
      <c r="F584" s="190" t="str">
        <f t="shared" si="11"/>
        <v>-</v>
      </c>
    </row>
    <row r="585" spans="1:6" customFormat="1" ht="12.75" customHeight="1" x14ac:dyDescent="0.2">
      <c r="A585" s="189" t="s">
        <v>1168</v>
      </c>
      <c r="B585" s="150" t="s">
        <v>1169</v>
      </c>
      <c r="C585" s="44" t="s">
        <v>1168</v>
      </c>
      <c r="D585" s="262">
        <f>D586</f>
        <v>0</v>
      </c>
      <c r="E585" s="262">
        <f>E586</f>
        <v>0</v>
      </c>
      <c r="F585" s="190" t="str">
        <f t="shared" si="11"/>
        <v>-</v>
      </c>
    </row>
    <row r="586" spans="1:6" customFormat="1" ht="12.75" customHeight="1" x14ac:dyDescent="0.2">
      <c r="A586" s="189" t="s">
        <v>1170</v>
      </c>
      <c r="B586" s="150" t="s">
        <v>1171</v>
      </c>
      <c r="C586" s="44" t="s">
        <v>1170</v>
      </c>
      <c r="D586" s="263">
        <v>0</v>
      </c>
      <c r="E586" s="263">
        <v>0</v>
      </c>
      <c r="F586" s="190" t="str">
        <f t="shared" si="11"/>
        <v>-</v>
      </c>
    </row>
    <row r="587" spans="1:6" customFormat="1" ht="24" customHeight="1" x14ac:dyDescent="0.2">
      <c r="A587" s="189" t="s">
        <v>1172</v>
      </c>
      <c r="B587" s="150" t="s">
        <v>1173</v>
      </c>
      <c r="C587" s="44" t="s">
        <v>1172</v>
      </c>
      <c r="D587" s="262">
        <f>SUM(D588:D589)</f>
        <v>0</v>
      </c>
      <c r="E587" s="262">
        <f>SUM(E588:E589)</f>
        <v>0</v>
      </c>
      <c r="F587" s="190" t="str">
        <f t="shared" si="11"/>
        <v>-</v>
      </c>
    </row>
    <row r="588" spans="1:6" customFormat="1" ht="24" customHeight="1" x14ac:dyDescent="0.2">
      <c r="A588" s="189" t="s">
        <v>1174</v>
      </c>
      <c r="B588" s="195" t="s">
        <v>1175</v>
      </c>
      <c r="C588" s="44" t="s">
        <v>1174</v>
      </c>
      <c r="D588" s="263">
        <v>0</v>
      </c>
      <c r="E588" s="263">
        <v>0</v>
      </c>
      <c r="F588" s="190" t="str">
        <f t="shared" si="11"/>
        <v>-</v>
      </c>
    </row>
    <row r="589" spans="1:6" customFormat="1" ht="12.75" customHeight="1" x14ac:dyDescent="0.2">
      <c r="A589" s="189" t="s">
        <v>1176</v>
      </c>
      <c r="B589" s="150" t="s">
        <v>1177</v>
      </c>
      <c r="C589" s="44" t="s">
        <v>1176</v>
      </c>
      <c r="D589" s="263">
        <v>0</v>
      </c>
      <c r="E589" s="263">
        <v>0</v>
      </c>
      <c r="F589" s="190" t="str">
        <f t="shared" si="11"/>
        <v>-</v>
      </c>
    </row>
    <row r="590" spans="1:6" customFormat="1" ht="24" customHeight="1" x14ac:dyDescent="0.2">
      <c r="A590" s="201" t="s">
        <v>1178</v>
      </c>
      <c r="B590" s="150" t="s">
        <v>1179</v>
      </c>
      <c r="C590" s="46" t="s">
        <v>1178</v>
      </c>
      <c r="D590" s="262">
        <f>SUM(D591:D592)</f>
        <v>0</v>
      </c>
      <c r="E590" s="262">
        <f>SUM(E591:E592)</f>
        <v>0</v>
      </c>
      <c r="F590" s="190" t="str">
        <f t="shared" si="11"/>
        <v>-</v>
      </c>
    </row>
    <row r="591" spans="1:6" customFormat="1" ht="12.75" customHeight="1" x14ac:dyDescent="0.2">
      <c r="A591" s="189" t="s">
        <v>1180</v>
      </c>
      <c r="B591" s="150" t="s">
        <v>1181</v>
      </c>
      <c r="C591" s="44" t="s">
        <v>1180</v>
      </c>
      <c r="D591" s="263">
        <v>0</v>
      </c>
      <c r="E591" s="263">
        <v>0</v>
      </c>
      <c r="F591" s="190" t="str">
        <f t="shared" si="11"/>
        <v>-</v>
      </c>
    </row>
    <row r="592" spans="1:6" customFormat="1" ht="12.75" customHeight="1" x14ac:dyDescent="0.2">
      <c r="A592" s="189" t="s">
        <v>1182</v>
      </c>
      <c r="B592" s="150" t="s">
        <v>973</v>
      </c>
      <c r="C592" s="44" t="s">
        <v>1182</v>
      </c>
      <c r="D592" s="263">
        <v>0</v>
      </c>
      <c r="E592" s="263">
        <v>0</v>
      </c>
      <c r="F592" s="190" t="str">
        <f t="shared" si="11"/>
        <v>-</v>
      </c>
    </row>
    <row r="593" spans="1:6" customFormat="1" ht="24" customHeight="1" x14ac:dyDescent="0.2">
      <c r="A593" s="189" t="s">
        <v>1183</v>
      </c>
      <c r="B593" s="195" t="s">
        <v>1184</v>
      </c>
      <c r="C593" s="44" t="s">
        <v>1183</v>
      </c>
      <c r="D593" s="262">
        <f>D594+D599+D603+D605+D612+D617</f>
        <v>9794.7199999999993</v>
      </c>
      <c r="E593" s="262">
        <f>E594+E599+E603+E605+E612+E617</f>
        <v>2720.72</v>
      </c>
      <c r="F593" s="190">
        <f t="shared" si="11"/>
        <v>27.77741477040691</v>
      </c>
    </row>
    <row r="594" spans="1:6" customFormat="1" ht="24" customHeight="1" x14ac:dyDescent="0.2">
      <c r="A594" s="189" t="s">
        <v>1185</v>
      </c>
      <c r="B594" s="150" t="s">
        <v>1186</v>
      </c>
      <c r="C594" s="44" t="s">
        <v>1185</v>
      </c>
      <c r="D594" s="262">
        <f>SUM(D595:D598)</f>
        <v>0</v>
      </c>
      <c r="E594" s="262">
        <f>SUM(E595:E598)</f>
        <v>0</v>
      </c>
      <c r="F594" s="190" t="str">
        <f t="shared" si="11"/>
        <v>-</v>
      </c>
    </row>
    <row r="595" spans="1:6" customFormat="1" ht="12.75" customHeight="1" x14ac:dyDescent="0.2">
      <c r="A595" s="189" t="s">
        <v>1187</v>
      </c>
      <c r="B595" s="150" t="s">
        <v>1188</v>
      </c>
      <c r="C595" s="44" t="s">
        <v>1187</v>
      </c>
      <c r="D595" s="263">
        <v>0</v>
      </c>
      <c r="E595" s="263">
        <v>0</v>
      </c>
      <c r="F595" s="190" t="str">
        <f t="shared" si="11"/>
        <v>-</v>
      </c>
    </row>
    <row r="596" spans="1:6" customFormat="1" ht="12.75" customHeight="1" x14ac:dyDescent="0.2">
      <c r="A596" s="189" t="s">
        <v>1189</v>
      </c>
      <c r="B596" s="150" t="s">
        <v>1190</v>
      </c>
      <c r="C596" s="44" t="s">
        <v>1189</v>
      </c>
      <c r="D596" s="263">
        <v>0</v>
      </c>
      <c r="E596" s="263">
        <v>0</v>
      </c>
      <c r="F596" s="190" t="str">
        <f t="shared" si="11"/>
        <v>-</v>
      </c>
    </row>
    <row r="597" spans="1:6" customFormat="1" ht="12.75" customHeight="1" x14ac:dyDescent="0.2">
      <c r="A597" s="189" t="s">
        <v>1191</v>
      </c>
      <c r="B597" s="150" t="s">
        <v>1192</v>
      </c>
      <c r="C597" s="44" t="s">
        <v>1191</v>
      </c>
      <c r="D597" s="263">
        <v>0</v>
      </c>
      <c r="E597" s="263">
        <v>0</v>
      </c>
      <c r="F597" s="190" t="str">
        <f t="shared" si="11"/>
        <v>-</v>
      </c>
    </row>
    <row r="598" spans="1:6" customFormat="1" ht="12.75" customHeight="1" x14ac:dyDescent="0.2">
      <c r="A598" s="189" t="s">
        <v>1193</v>
      </c>
      <c r="B598" s="150" t="s">
        <v>1194</v>
      </c>
      <c r="C598" s="44" t="s">
        <v>1193</v>
      </c>
      <c r="D598" s="263">
        <v>0</v>
      </c>
      <c r="E598" s="263">
        <v>0</v>
      </c>
      <c r="F598" s="190" t="str">
        <f t="shared" si="11"/>
        <v>-</v>
      </c>
    </row>
    <row r="599" spans="1:6" customFormat="1" ht="24" customHeight="1" x14ac:dyDescent="0.2">
      <c r="A599" s="189" t="s">
        <v>1195</v>
      </c>
      <c r="B599" s="150" t="s">
        <v>1196</v>
      </c>
      <c r="C599" s="44" t="s">
        <v>1195</v>
      </c>
      <c r="D599" s="262">
        <f>SUM(D600:D602)</f>
        <v>0</v>
      </c>
      <c r="E599" s="262">
        <f>SUM(E600:E602)</f>
        <v>0</v>
      </c>
      <c r="F599" s="190" t="str">
        <f t="shared" si="11"/>
        <v>-</v>
      </c>
    </row>
    <row r="600" spans="1:6" customFormat="1" ht="12.75" customHeight="1" x14ac:dyDescent="0.2">
      <c r="A600" s="189" t="s">
        <v>1197</v>
      </c>
      <c r="B600" s="150" t="s">
        <v>1198</v>
      </c>
      <c r="C600" s="44" t="s">
        <v>1197</v>
      </c>
      <c r="D600" s="263">
        <v>0</v>
      </c>
      <c r="E600" s="263">
        <v>0</v>
      </c>
      <c r="F600" s="190" t="str">
        <f t="shared" si="11"/>
        <v>-</v>
      </c>
    </row>
    <row r="601" spans="1:6" customFormat="1" ht="24" customHeight="1" x14ac:dyDescent="0.2">
      <c r="A601" s="189" t="s">
        <v>1199</v>
      </c>
      <c r="B601" s="150" t="s">
        <v>1200</v>
      </c>
      <c r="C601" s="44" t="s">
        <v>1199</v>
      </c>
      <c r="D601" s="263">
        <v>0</v>
      </c>
      <c r="E601" s="263">
        <v>0</v>
      </c>
      <c r="F601" s="190" t="str">
        <f t="shared" si="11"/>
        <v>-</v>
      </c>
    </row>
    <row r="602" spans="1:6" customFormat="1" ht="24" customHeight="1" x14ac:dyDescent="0.2">
      <c r="A602" s="189" t="s">
        <v>1201</v>
      </c>
      <c r="B602" s="150" t="s">
        <v>1202</v>
      </c>
      <c r="C602" s="44" t="s">
        <v>1201</v>
      </c>
      <c r="D602" s="263">
        <v>0</v>
      </c>
      <c r="E602" s="263">
        <v>0</v>
      </c>
      <c r="F602" s="190" t="str">
        <f t="shared" si="11"/>
        <v>-</v>
      </c>
    </row>
    <row r="603" spans="1:6" customFormat="1" ht="24" customHeight="1" x14ac:dyDescent="0.2">
      <c r="A603" s="189" t="s">
        <v>1203</v>
      </c>
      <c r="B603" s="150" t="s">
        <v>1204</v>
      </c>
      <c r="C603" s="44" t="s">
        <v>1203</v>
      </c>
      <c r="D603" s="262">
        <f>D604</f>
        <v>0</v>
      </c>
      <c r="E603" s="262">
        <f>E604</f>
        <v>0</v>
      </c>
      <c r="F603" s="190" t="str">
        <f t="shared" si="11"/>
        <v>-</v>
      </c>
    </row>
    <row r="604" spans="1:6" customFormat="1" ht="12.75" customHeight="1" x14ac:dyDescent="0.2">
      <c r="A604" s="189" t="s">
        <v>1205</v>
      </c>
      <c r="B604" s="150" t="s">
        <v>1206</v>
      </c>
      <c r="C604" s="44" t="s">
        <v>1205</v>
      </c>
      <c r="D604" s="263">
        <v>0</v>
      </c>
      <c r="E604" s="263">
        <v>0</v>
      </c>
      <c r="F604" s="190" t="str">
        <f t="shared" si="11"/>
        <v>-</v>
      </c>
    </row>
    <row r="605" spans="1:6" customFormat="1" ht="24" customHeight="1" x14ac:dyDescent="0.2">
      <c r="A605" s="189" t="s">
        <v>1207</v>
      </c>
      <c r="B605" s="150" t="s">
        <v>1208</v>
      </c>
      <c r="C605" s="44" t="s">
        <v>1207</v>
      </c>
      <c r="D605" s="262">
        <f>SUM(D606:D611)</f>
        <v>0</v>
      </c>
      <c r="E605" s="262">
        <f>SUM(E606:E611)</f>
        <v>0</v>
      </c>
      <c r="F605" s="190" t="str">
        <f t="shared" si="11"/>
        <v>-</v>
      </c>
    </row>
    <row r="606" spans="1:6" customFormat="1" ht="24" customHeight="1" x14ac:dyDescent="0.2">
      <c r="A606" s="189" t="s">
        <v>1209</v>
      </c>
      <c r="B606" s="150" t="s">
        <v>1210</v>
      </c>
      <c r="C606" s="44" t="s">
        <v>1209</v>
      </c>
      <c r="D606" s="263">
        <v>0</v>
      </c>
      <c r="E606" s="263">
        <v>0</v>
      </c>
      <c r="F606" s="190" t="str">
        <f t="shared" si="11"/>
        <v>-</v>
      </c>
    </row>
    <row r="607" spans="1:6" customFormat="1" ht="24" customHeight="1" x14ac:dyDescent="0.2">
      <c r="A607" s="189" t="s">
        <v>1211</v>
      </c>
      <c r="B607" s="195" t="s">
        <v>1212</v>
      </c>
      <c r="C607" s="44" t="s">
        <v>1211</v>
      </c>
      <c r="D607" s="263">
        <v>0</v>
      </c>
      <c r="E607" s="263">
        <v>0</v>
      </c>
      <c r="F607" s="190" t="str">
        <f t="shared" si="11"/>
        <v>-</v>
      </c>
    </row>
    <row r="608" spans="1:6" customFormat="1" ht="24" customHeight="1" x14ac:dyDescent="0.2">
      <c r="A608" s="201" t="s">
        <v>1213</v>
      </c>
      <c r="B608" s="150" t="s">
        <v>1214</v>
      </c>
      <c r="C608" s="46" t="s">
        <v>1213</v>
      </c>
      <c r="D608" s="263">
        <v>0</v>
      </c>
      <c r="E608" s="263">
        <v>0</v>
      </c>
      <c r="F608" s="190" t="str">
        <f t="shared" si="11"/>
        <v>-</v>
      </c>
    </row>
    <row r="609" spans="1:6" customFormat="1" ht="12.75" customHeight="1" x14ac:dyDescent="0.2">
      <c r="A609" s="189" t="s">
        <v>1215</v>
      </c>
      <c r="B609" s="150" t="s">
        <v>1216</v>
      </c>
      <c r="C609" s="44" t="s">
        <v>1215</v>
      </c>
      <c r="D609" s="263">
        <v>0</v>
      </c>
      <c r="E609" s="263">
        <v>0</v>
      </c>
      <c r="F609" s="190" t="str">
        <f t="shared" si="11"/>
        <v>-</v>
      </c>
    </row>
    <row r="610" spans="1:6" customFormat="1" ht="12.75" customHeight="1" x14ac:dyDescent="0.2">
      <c r="A610" s="189" t="s">
        <v>1217</v>
      </c>
      <c r="B610" s="150" t="s">
        <v>1218</v>
      </c>
      <c r="C610" s="44" t="s">
        <v>1217</v>
      </c>
      <c r="D610" s="263">
        <v>0</v>
      </c>
      <c r="E610" s="263">
        <v>0</v>
      </c>
      <c r="F610" s="190" t="str">
        <f t="shared" si="11"/>
        <v>-</v>
      </c>
    </row>
    <row r="611" spans="1:6" customFormat="1" ht="24" customHeight="1" x14ac:dyDescent="0.2">
      <c r="A611" s="189" t="s">
        <v>1219</v>
      </c>
      <c r="B611" s="150" t="s">
        <v>1220</v>
      </c>
      <c r="C611" s="44" t="s">
        <v>1219</v>
      </c>
      <c r="D611" s="263">
        <v>0</v>
      </c>
      <c r="E611" s="263">
        <v>0</v>
      </c>
      <c r="F611" s="190" t="str">
        <f t="shared" si="11"/>
        <v>-</v>
      </c>
    </row>
    <row r="612" spans="1:6" customFormat="1" ht="24" customHeight="1" x14ac:dyDescent="0.2">
      <c r="A612" s="189" t="s">
        <v>1221</v>
      </c>
      <c r="B612" s="150" t="s">
        <v>1222</v>
      </c>
      <c r="C612" s="44" t="s">
        <v>1221</v>
      </c>
      <c r="D612" s="262">
        <f>SUM(D613:D616)</f>
        <v>0</v>
      </c>
      <c r="E612" s="262">
        <f>SUM(E613:E616)</f>
        <v>0</v>
      </c>
      <c r="F612" s="190" t="str">
        <f t="shared" ref="F612:F647" si="12">IF(D612&lt;&gt;0,IF(E612/D612&gt;=100,"&gt;&gt;100",E612/D612*100),"-")</f>
        <v>-</v>
      </c>
    </row>
    <row r="613" spans="1:6" customFormat="1" ht="24" customHeight="1" x14ac:dyDescent="0.2">
      <c r="A613" s="189" t="s">
        <v>1223</v>
      </c>
      <c r="B613" s="195" t="s">
        <v>1224</v>
      </c>
      <c r="C613" s="44" t="s">
        <v>1223</v>
      </c>
      <c r="D613" s="263">
        <v>0</v>
      </c>
      <c r="E613" s="263">
        <v>0</v>
      </c>
      <c r="F613" s="190" t="str">
        <f t="shared" si="12"/>
        <v>-</v>
      </c>
    </row>
    <row r="614" spans="1:6" customFormat="1" ht="12.75" customHeight="1" x14ac:dyDescent="0.2">
      <c r="A614" s="189" t="s">
        <v>1225</v>
      </c>
      <c r="B614" s="150" t="s">
        <v>1226</v>
      </c>
      <c r="C614" s="44" t="s">
        <v>1225</v>
      </c>
      <c r="D614" s="263">
        <v>0</v>
      </c>
      <c r="E614" s="263">
        <v>0</v>
      </c>
      <c r="F614" s="190" t="str">
        <f t="shared" si="12"/>
        <v>-</v>
      </c>
    </row>
    <row r="615" spans="1:6" customFormat="1" ht="12.75" customHeight="1" x14ac:dyDescent="0.2">
      <c r="A615" s="189" t="s">
        <v>1227</v>
      </c>
      <c r="B615" s="150" t="s">
        <v>1228</v>
      </c>
      <c r="C615" s="44" t="s">
        <v>1227</v>
      </c>
      <c r="D615" s="263">
        <v>0</v>
      </c>
      <c r="E615" s="263">
        <v>0</v>
      </c>
      <c r="F615" s="190" t="str">
        <f t="shared" si="12"/>
        <v>-</v>
      </c>
    </row>
    <row r="616" spans="1:6" customFormat="1" ht="12.75" customHeight="1" x14ac:dyDescent="0.2">
      <c r="A616" s="189" t="s">
        <v>1229</v>
      </c>
      <c r="B616" s="150" t="s">
        <v>1230</v>
      </c>
      <c r="C616" s="44" t="s">
        <v>1229</v>
      </c>
      <c r="D616" s="263">
        <v>0</v>
      </c>
      <c r="E616" s="263">
        <v>0</v>
      </c>
      <c r="F616" s="190" t="str">
        <f t="shared" si="12"/>
        <v>-</v>
      </c>
    </row>
    <row r="617" spans="1:6" customFormat="1" ht="24" customHeight="1" x14ac:dyDescent="0.2">
      <c r="A617" s="189" t="s">
        <v>1231</v>
      </c>
      <c r="B617" s="150" t="s">
        <v>1232</v>
      </c>
      <c r="C617" s="44" t="s">
        <v>1231</v>
      </c>
      <c r="D617" s="262">
        <f>SUM(D618:D624)</f>
        <v>9794.7199999999993</v>
      </c>
      <c r="E617" s="262">
        <f>SUM(E618:E624)</f>
        <v>2720.72</v>
      </c>
      <c r="F617" s="190">
        <f t="shared" si="12"/>
        <v>27.77741477040691</v>
      </c>
    </row>
    <row r="618" spans="1:6" customFormat="1" ht="12.75" customHeight="1" x14ac:dyDescent="0.2">
      <c r="A618" s="189" t="s">
        <v>1233</v>
      </c>
      <c r="B618" s="150" t="s">
        <v>1234</v>
      </c>
      <c r="C618" s="44" t="s">
        <v>1233</v>
      </c>
      <c r="D618" s="263">
        <v>9794.7199999999993</v>
      </c>
      <c r="E618" s="263">
        <v>2720.72</v>
      </c>
      <c r="F618" s="190">
        <f t="shared" si="12"/>
        <v>27.77741477040691</v>
      </c>
    </row>
    <row r="619" spans="1:6" customFormat="1" ht="12.75" customHeight="1" x14ac:dyDescent="0.2">
      <c r="A619" s="189" t="s">
        <v>1235</v>
      </c>
      <c r="B619" s="150" t="s">
        <v>1236</v>
      </c>
      <c r="C619" s="44" t="s">
        <v>1235</v>
      </c>
      <c r="D619" s="263">
        <v>0</v>
      </c>
      <c r="E619" s="263">
        <v>0</v>
      </c>
      <c r="F619" s="190" t="str">
        <f t="shared" si="12"/>
        <v>-</v>
      </c>
    </row>
    <row r="620" spans="1:6" customFormat="1" ht="12.75" customHeight="1" x14ac:dyDescent="0.2">
      <c r="A620" s="189" t="s">
        <v>1237</v>
      </c>
      <c r="B620" s="150" t="s">
        <v>1238</v>
      </c>
      <c r="C620" s="44" t="s">
        <v>1237</v>
      </c>
      <c r="D620" s="263">
        <v>0</v>
      </c>
      <c r="E620" s="263">
        <v>0</v>
      </c>
      <c r="F620" s="190" t="str">
        <f t="shared" si="12"/>
        <v>-</v>
      </c>
    </row>
    <row r="621" spans="1:6" customFormat="1" ht="12.75" customHeight="1" x14ac:dyDescent="0.2">
      <c r="A621" s="189" t="s">
        <v>1239</v>
      </c>
      <c r="B621" s="150" t="s">
        <v>1240</v>
      </c>
      <c r="C621" s="44" t="s">
        <v>1239</v>
      </c>
      <c r="D621" s="263">
        <v>0</v>
      </c>
      <c r="E621" s="263">
        <v>0</v>
      </c>
      <c r="F621" s="190" t="str">
        <f t="shared" si="12"/>
        <v>-</v>
      </c>
    </row>
    <row r="622" spans="1:6" customFormat="1" ht="12.75" customHeight="1" x14ac:dyDescent="0.2">
      <c r="A622" s="189" t="s">
        <v>1241</v>
      </c>
      <c r="B622" s="150" t="s">
        <v>1242</v>
      </c>
      <c r="C622" s="44" t="s">
        <v>1241</v>
      </c>
      <c r="D622" s="263">
        <v>0</v>
      </c>
      <c r="E622" s="263">
        <v>0</v>
      </c>
      <c r="F622" s="190" t="str">
        <f t="shared" si="12"/>
        <v>-</v>
      </c>
    </row>
    <row r="623" spans="1:6" customFormat="1" ht="24" customHeight="1" x14ac:dyDescent="0.2">
      <c r="A623" s="189" t="s">
        <v>1243</v>
      </c>
      <c r="B623" s="150" t="s">
        <v>1244</v>
      </c>
      <c r="C623" s="44" t="s">
        <v>1243</v>
      </c>
      <c r="D623" s="263">
        <v>0</v>
      </c>
      <c r="E623" s="263">
        <v>0</v>
      </c>
      <c r="F623" s="190" t="str">
        <f t="shared" si="12"/>
        <v>-</v>
      </c>
    </row>
    <row r="624" spans="1:6" customFormat="1" ht="24" customHeight="1" x14ac:dyDescent="0.2">
      <c r="A624" s="189" t="s">
        <v>1245</v>
      </c>
      <c r="B624" s="150" t="s">
        <v>1246</v>
      </c>
      <c r="C624" s="44" t="s">
        <v>1245</v>
      </c>
      <c r="D624" s="263">
        <v>0</v>
      </c>
      <c r="E624" s="263">
        <v>0</v>
      </c>
      <c r="F624" s="190" t="str">
        <f t="shared" si="12"/>
        <v>-</v>
      </c>
    </row>
    <row r="625" spans="1:6" customFormat="1" ht="12.75" customHeight="1" x14ac:dyDescent="0.2">
      <c r="A625" s="189" t="s">
        <v>1247</v>
      </c>
      <c r="B625" s="150" t="s">
        <v>1248</v>
      </c>
      <c r="C625" s="44" t="s">
        <v>1247</v>
      </c>
      <c r="D625" s="262">
        <f>D626+D629+D632</f>
        <v>0</v>
      </c>
      <c r="E625" s="262">
        <f>E626+E629+E632</f>
        <v>0</v>
      </c>
      <c r="F625" s="190" t="str">
        <f t="shared" si="12"/>
        <v>-</v>
      </c>
    </row>
    <row r="626" spans="1:6" customFormat="1" ht="12.75" customHeight="1" x14ac:dyDescent="0.2">
      <c r="A626" s="189" t="s">
        <v>1249</v>
      </c>
      <c r="B626" s="150" t="s">
        <v>1250</v>
      </c>
      <c r="C626" s="44" t="s">
        <v>1249</v>
      </c>
      <c r="D626" s="262">
        <f>SUM(D627:D628)</f>
        <v>0</v>
      </c>
      <c r="E626" s="262">
        <f>SUM(E627:E628)</f>
        <v>0</v>
      </c>
      <c r="F626" s="190" t="str">
        <f t="shared" si="12"/>
        <v>-</v>
      </c>
    </row>
    <row r="627" spans="1:6" customFormat="1" ht="12.75" customHeight="1" x14ac:dyDescent="0.2">
      <c r="A627" s="189" t="s">
        <v>1251</v>
      </c>
      <c r="B627" s="150" t="s">
        <v>1252</v>
      </c>
      <c r="C627" s="44" t="s">
        <v>1251</v>
      </c>
      <c r="D627" s="263">
        <v>0</v>
      </c>
      <c r="E627" s="263">
        <v>0</v>
      </c>
      <c r="F627" s="190" t="str">
        <f t="shared" si="12"/>
        <v>-</v>
      </c>
    </row>
    <row r="628" spans="1:6" customFormat="1" ht="12.75" customHeight="1" x14ac:dyDescent="0.2">
      <c r="A628" s="189" t="s">
        <v>1253</v>
      </c>
      <c r="B628" s="150" t="s">
        <v>1254</v>
      </c>
      <c r="C628" s="44" t="s">
        <v>1253</v>
      </c>
      <c r="D628" s="263">
        <v>0</v>
      </c>
      <c r="E628" s="263">
        <v>0</v>
      </c>
      <c r="F628" s="190" t="str">
        <f t="shared" si="12"/>
        <v>-</v>
      </c>
    </row>
    <row r="629" spans="1:6" customFormat="1" ht="12.75" customHeight="1" x14ac:dyDescent="0.2">
      <c r="A629" s="189" t="s">
        <v>1255</v>
      </c>
      <c r="B629" s="150" t="s">
        <v>1256</v>
      </c>
      <c r="C629" s="44" t="s">
        <v>1255</v>
      </c>
      <c r="D629" s="262">
        <f>SUM(D630:D631)</f>
        <v>0</v>
      </c>
      <c r="E629" s="262">
        <f>SUM(E630:E631)</f>
        <v>0</v>
      </c>
      <c r="F629" s="190" t="str">
        <f t="shared" si="12"/>
        <v>-</v>
      </c>
    </row>
    <row r="630" spans="1:6" customFormat="1" ht="12.75" customHeight="1" x14ac:dyDescent="0.2">
      <c r="A630" s="189" t="s">
        <v>1257</v>
      </c>
      <c r="B630" s="150" t="s">
        <v>1258</v>
      </c>
      <c r="C630" s="44" t="s">
        <v>1257</v>
      </c>
      <c r="D630" s="263">
        <v>0</v>
      </c>
      <c r="E630" s="263">
        <v>0</v>
      </c>
      <c r="F630" s="190" t="str">
        <f t="shared" si="12"/>
        <v>-</v>
      </c>
    </row>
    <row r="631" spans="1:6" customFormat="1" ht="12.75" customHeight="1" x14ac:dyDescent="0.2">
      <c r="A631" s="189" t="s">
        <v>1259</v>
      </c>
      <c r="B631" s="150" t="s">
        <v>1260</v>
      </c>
      <c r="C631" s="44" t="s">
        <v>1259</v>
      </c>
      <c r="D631" s="263">
        <v>0</v>
      </c>
      <c r="E631" s="263">
        <v>0</v>
      </c>
      <c r="F631" s="190" t="str">
        <f t="shared" si="12"/>
        <v>-</v>
      </c>
    </row>
    <row r="632" spans="1:6" customFormat="1" ht="24" customHeight="1" x14ac:dyDescent="0.2">
      <c r="A632" s="189" t="s">
        <v>1261</v>
      </c>
      <c r="B632" s="150" t="s">
        <v>1262</v>
      </c>
      <c r="C632" s="44" t="s">
        <v>1261</v>
      </c>
      <c r="D632" s="262">
        <f>SUM(D633:D634)</f>
        <v>0</v>
      </c>
      <c r="E632" s="262">
        <f>SUM(E633:E634)</f>
        <v>0</v>
      </c>
      <c r="F632" s="190" t="str">
        <f t="shared" si="12"/>
        <v>-</v>
      </c>
    </row>
    <row r="633" spans="1:6" customFormat="1" ht="12.75" customHeight="1" x14ac:dyDescent="0.2">
      <c r="A633" s="189" t="s">
        <v>1263</v>
      </c>
      <c r="B633" s="195" t="s">
        <v>1264</v>
      </c>
      <c r="C633" s="44" t="s">
        <v>1263</v>
      </c>
      <c r="D633" s="263">
        <v>0</v>
      </c>
      <c r="E633" s="263">
        <v>0</v>
      </c>
      <c r="F633" s="190" t="str">
        <f t="shared" si="12"/>
        <v>-</v>
      </c>
    </row>
    <row r="634" spans="1:6" customFormat="1" ht="12.75" customHeight="1" x14ac:dyDescent="0.2">
      <c r="A634" s="189" t="s">
        <v>1265</v>
      </c>
      <c r="B634" s="150" t="s">
        <v>1266</v>
      </c>
      <c r="C634" s="44" t="s">
        <v>1265</v>
      </c>
      <c r="D634" s="263">
        <v>0</v>
      </c>
      <c r="E634" s="263">
        <v>0</v>
      </c>
      <c r="F634" s="190" t="str">
        <f t="shared" si="12"/>
        <v>-</v>
      </c>
    </row>
    <row r="635" spans="1:6" customFormat="1" ht="12.75" customHeight="1" x14ac:dyDescent="0.2">
      <c r="A635" s="189"/>
      <c r="B635" s="150" t="s">
        <v>1267</v>
      </c>
      <c r="C635" s="44" t="s">
        <v>1268</v>
      </c>
      <c r="D635" s="262">
        <f>IF(D420-D528&gt;=0,D420-D528,0)</f>
        <v>0</v>
      </c>
      <c r="E635" s="262">
        <f>IF(E420-E528&gt;=0,E420-E528,0)</f>
        <v>332493.98000000004</v>
      </c>
      <c r="F635" s="190" t="str">
        <f t="shared" si="12"/>
        <v>-</v>
      </c>
    </row>
    <row r="636" spans="1:6" customFormat="1" ht="12.75" customHeight="1" x14ac:dyDescent="0.2">
      <c r="A636" s="189"/>
      <c r="B636" s="150" t="s">
        <v>1269</v>
      </c>
      <c r="C636" s="44" t="s">
        <v>1270</v>
      </c>
      <c r="D636" s="262">
        <f>IF(D528-D420&gt;=0,D528-D420,0)</f>
        <v>7074.0199999999995</v>
      </c>
      <c r="E636" s="262">
        <f>IF(E528-E420&gt;=0,E528-E420,0)</f>
        <v>0</v>
      </c>
      <c r="F636" s="190">
        <f t="shared" si="12"/>
        <v>0</v>
      </c>
    </row>
    <row r="637" spans="1:6" customFormat="1" ht="12.75" customHeight="1" x14ac:dyDescent="0.2">
      <c r="A637" s="189" t="s">
        <v>1271</v>
      </c>
      <c r="B637" s="150" t="s">
        <v>1272</v>
      </c>
      <c r="C637" s="44" t="s">
        <v>1271</v>
      </c>
      <c r="D637" s="263">
        <v>0</v>
      </c>
      <c r="E637" s="263">
        <v>0</v>
      </c>
      <c r="F637" s="190" t="str">
        <f t="shared" si="12"/>
        <v>-</v>
      </c>
    </row>
    <row r="638" spans="1:6" customFormat="1" ht="12.75" customHeight="1" x14ac:dyDescent="0.2">
      <c r="A638" s="189" t="s">
        <v>1273</v>
      </c>
      <c r="B638" s="150" t="s">
        <v>1274</v>
      </c>
      <c r="C638" s="44" t="s">
        <v>1273</v>
      </c>
      <c r="D638" s="263">
        <v>0</v>
      </c>
      <c r="E638" s="263">
        <v>0</v>
      </c>
      <c r="F638" s="190" t="str">
        <f t="shared" si="12"/>
        <v>-</v>
      </c>
    </row>
    <row r="639" spans="1:6" customFormat="1" ht="12.75" customHeight="1" x14ac:dyDescent="0.2">
      <c r="A639" s="189"/>
      <c r="B639" s="150" t="s">
        <v>1275</v>
      </c>
      <c r="C639" s="44" t="s">
        <v>1276</v>
      </c>
      <c r="D639" s="262">
        <f>D412+D420</f>
        <v>821251.57</v>
      </c>
      <c r="E639" s="262">
        <f>E412+E420</f>
        <v>1185852.4099999999</v>
      </c>
      <c r="F639" s="190">
        <f t="shared" si="12"/>
        <v>144.39575561481118</v>
      </c>
    </row>
    <row r="640" spans="1:6" customFormat="1" ht="12.75" customHeight="1" x14ac:dyDescent="0.2">
      <c r="A640" s="189"/>
      <c r="B640" s="150" t="s">
        <v>1277</v>
      </c>
      <c r="C640" s="44" t="s">
        <v>1278</v>
      </c>
      <c r="D640" s="262">
        <f>D413+D528</f>
        <v>621021.21</v>
      </c>
      <c r="E640" s="262">
        <f>E413+E528</f>
        <v>1333107.2300000002</v>
      </c>
      <c r="F640" s="190">
        <f t="shared" si="12"/>
        <v>214.66371977858861</v>
      </c>
    </row>
    <row r="641" spans="1:6" customFormat="1" ht="12.75" customHeight="1" x14ac:dyDescent="0.2">
      <c r="A641" s="189"/>
      <c r="B641" s="150" t="s">
        <v>1279</v>
      </c>
      <c r="C641" s="44" t="s">
        <v>1280</v>
      </c>
      <c r="D641" s="262">
        <f>IF(D639&gt;=D640,D639-D640,0)</f>
        <v>200230.36</v>
      </c>
      <c r="E641" s="262">
        <f>IF(E639&gt;=E640,E639-E640,0)</f>
        <v>0</v>
      </c>
      <c r="F641" s="190">
        <f t="shared" si="12"/>
        <v>0</v>
      </c>
    </row>
    <row r="642" spans="1:6" customFormat="1" ht="12.75" customHeight="1" x14ac:dyDescent="0.2">
      <c r="A642" s="189"/>
      <c r="B642" s="150" t="s">
        <v>1281</v>
      </c>
      <c r="C642" s="44" t="s">
        <v>1282</v>
      </c>
      <c r="D642" s="262">
        <f>IF(D640&gt;=D639,D640-D639,0)</f>
        <v>0</v>
      </c>
      <c r="E642" s="262">
        <f>IF(E640&gt;=E639,E640-E639,0)</f>
        <v>147254.8200000003</v>
      </c>
      <c r="F642" s="190" t="str">
        <f t="shared" si="12"/>
        <v>-</v>
      </c>
    </row>
    <row r="643" spans="1:6" customFormat="1" ht="24" customHeight="1" x14ac:dyDescent="0.2">
      <c r="A643" s="201" t="s">
        <v>1283</v>
      </c>
      <c r="B643" s="150" t="s">
        <v>1284</v>
      </c>
      <c r="C643" s="46" t="s">
        <v>1283</v>
      </c>
      <c r="D643" s="262">
        <f>IF(D416-D417+D637-D638&gt;=0,D416-D417+D637-D638,0)</f>
        <v>348915.08999999997</v>
      </c>
      <c r="E643" s="262">
        <f>IF(E416-E417+E637-E638&gt;=0,E416-E417+E637-E638,0)</f>
        <v>548012.5</v>
      </c>
      <c r="F643" s="190">
        <f t="shared" si="12"/>
        <v>157.06185135185757</v>
      </c>
    </row>
    <row r="644" spans="1:6" customFormat="1" ht="24" customHeight="1" x14ac:dyDescent="0.2">
      <c r="A644" s="201" t="s">
        <v>1285</v>
      </c>
      <c r="B644" s="150" t="s">
        <v>1286</v>
      </c>
      <c r="C644" s="46" t="s">
        <v>1285</v>
      </c>
      <c r="D644" s="262">
        <f>IF(D417-D416+D638-D637&gt;=0,D417-D416+D638-D637,0)</f>
        <v>0</v>
      </c>
      <c r="E644" s="262">
        <f>IF(E417-E416+E638-E637&gt;=0,E417-E416+E638-E637,0)</f>
        <v>0</v>
      </c>
      <c r="F644" s="190" t="str">
        <f t="shared" si="12"/>
        <v>-</v>
      </c>
    </row>
    <row r="645" spans="1:6" customFormat="1" ht="24" customHeight="1" x14ac:dyDescent="0.2">
      <c r="A645" s="189"/>
      <c r="B645" s="150" t="s">
        <v>1287</v>
      </c>
      <c r="C645" s="44" t="s">
        <v>1288</v>
      </c>
      <c r="D645" s="262">
        <f>IF(D641+D643-D642-D644&gt;=0,D641+D643-D642-D644,0)</f>
        <v>549145.44999999995</v>
      </c>
      <c r="E645" s="262">
        <f>IF(E641+E643-E642-E644&gt;=0,E641+E643-E642-E644,0)</f>
        <v>400757.6799999997</v>
      </c>
      <c r="F645" s="190">
        <f t="shared" si="12"/>
        <v>72.978421290752706</v>
      </c>
    </row>
    <row r="646" spans="1:6" customFormat="1" ht="24" customHeight="1" x14ac:dyDescent="0.2">
      <c r="A646" s="189"/>
      <c r="B646" s="150" t="s">
        <v>1289</v>
      </c>
      <c r="C646" s="44" t="s">
        <v>1290</v>
      </c>
      <c r="D646" s="262">
        <f>IF(D642+D644-D641-D643&gt;=0,D642+D644-D641-D643,0)</f>
        <v>0</v>
      </c>
      <c r="E646" s="262">
        <f>IF(E642+E644-E641-E643&gt;=0,E642+E644-E641-E643,0)</f>
        <v>0</v>
      </c>
      <c r="F646" s="190" t="str">
        <f t="shared" si="12"/>
        <v>-</v>
      </c>
    </row>
    <row r="647" spans="1:6" customFormat="1" ht="24" customHeight="1" x14ac:dyDescent="0.2">
      <c r="A647" s="198" t="s">
        <v>1291</v>
      </c>
      <c r="B647" s="199" t="s">
        <v>1292</v>
      </c>
      <c r="C647" s="45" t="s">
        <v>1291</v>
      </c>
      <c r="D647" s="264">
        <v>0</v>
      </c>
      <c r="E647" s="264">
        <v>0</v>
      </c>
      <c r="F647" s="200" t="str">
        <f t="shared" si="12"/>
        <v>-</v>
      </c>
    </row>
    <row r="648" spans="1:6" s="50" customFormat="1" ht="20.100000000000001" customHeight="1" x14ac:dyDescent="0.2">
      <c r="A648" s="327" t="s">
        <v>1293</v>
      </c>
      <c r="B648" s="328"/>
      <c r="C648" s="2"/>
      <c r="D648" s="265"/>
      <c r="E648" s="265"/>
      <c r="F648" s="194"/>
    </row>
    <row r="649" spans="1:6" customFormat="1" ht="12.75" customHeight="1" x14ac:dyDescent="0.2">
      <c r="A649" s="189" t="s">
        <v>1294</v>
      </c>
      <c r="B649" s="150" t="s">
        <v>1295</v>
      </c>
      <c r="C649" s="44" t="s">
        <v>1296</v>
      </c>
      <c r="D649" s="263">
        <v>355408.72</v>
      </c>
      <c r="E649" s="263">
        <v>554177.64</v>
      </c>
      <c r="F649" s="190">
        <f t="shared" ref="F649:F712" si="13">IF(D649&lt;&gt;0,IF(E649/D649&gt;=100,"&gt;&gt;100",E649/D649*100),"-")</f>
        <v>155.92685514300271</v>
      </c>
    </row>
    <row r="650" spans="1:6" customFormat="1" ht="12.75" customHeight="1" x14ac:dyDescent="0.2">
      <c r="A650" s="189" t="s">
        <v>1297</v>
      </c>
      <c r="B650" s="150" t="s">
        <v>1298</v>
      </c>
      <c r="C650" s="44" t="s">
        <v>1297</v>
      </c>
      <c r="D650" s="263">
        <v>845181.45</v>
      </c>
      <c r="E650" s="263">
        <v>1228933.8700000001</v>
      </c>
      <c r="F650" s="190">
        <f t="shared" si="13"/>
        <v>145.40473764538967</v>
      </c>
    </row>
    <row r="651" spans="1:6" customFormat="1" ht="12.75" customHeight="1" x14ac:dyDescent="0.2">
      <c r="A651" s="189" t="s">
        <v>1299</v>
      </c>
      <c r="B651" s="150" t="s">
        <v>1300</v>
      </c>
      <c r="C651" s="44" t="s">
        <v>1299</v>
      </c>
      <c r="D651" s="263">
        <v>646412.53</v>
      </c>
      <c r="E651" s="263">
        <v>1316445.26</v>
      </c>
      <c r="F651" s="190">
        <f t="shared" si="13"/>
        <v>203.65404426798472</v>
      </c>
    </row>
    <row r="652" spans="1:6" customFormat="1" ht="24" customHeight="1" x14ac:dyDescent="0.2">
      <c r="A652" s="189" t="s">
        <v>1294</v>
      </c>
      <c r="B652" s="150" t="s">
        <v>1301</v>
      </c>
      <c r="C652" s="44" t="s">
        <v>1302</v>
      </c>
      <c r="D652" s="262">
        <f>+D649+D650-D651</f>
        <v>554177.6399999999</v>
      </c>
      <c r="E652" s="262">
        <f>+E649+E650-E651</f>
        <v>466666.25000000023</v>
      </c>
      <c r="F652" s="190">
        <f t="shared" si="13"/>
        <v>84.208783667273252</v>
      </c>
    </row>
    <row r="653" spans="1:6" customFormat="1" ht="24" customHeight="1" x14ac:dyDescent="0.2">
      <c r="A653" s="189"/>
      <c r="B653" s="150" t="s">
        <v>1303</v>
      </c>
      <c r="C653" s="44" t="s">
        <v>1304</v>
      </c>
      <c r="D653" s="202">
        <v>3</v>
      </c>
      <c r="E653" s="202">
        <v>3</v>
      </c>
      <c r="F653" s="190">
        <f t="shared" si="13"/>
        <v>100</v>
      </c>
    </row>
    <row r="654" spans="1:6" customFormat="1" ht="24" customHeight="1" x14ac:dyDescent="0.2">
      <c r="A654" s="189"/>
      <c r="B654" s="150" t="s">
        <v>1305</v>
      </c>
      <c r="C654" s="44" t="s">
        <v>1306</v>
      </c>
      <c r="D654" s="202">
        <v>0</v>
      </c>
      <c r="E654" s="202">
        <v>0</v>
      </c>
      <c r="F654" s="190" t="str">
        <f t="shared" si="13"/>
        <v>-</v>
      </c>
    </row>
    <row r="655" spans="1:6" customFormat="1" ht="12.75" customHeight="1" x14ac:dyDescent="0.2">
      <c r="A655" s="189"/>
      <c r="B655" s="150" t="s">
        <v>1307</v>
      </c>
      <c r="C655" s="44" t="s">
        <v>1308</v>
      </c>
      <c r="D655" s="202">
        <v>3</v>
      </c>
      <c r="E655" s="202">
        <v>3</v>
      </c>
      <c r="F655" s="190">
        <f t="shared" si="13"/>
        <v>100</v>
      </c>
    </row>
    <row r="656" spans="1:6" customFormat="1" ht="12.75" customHeight="1" x14ac:dyDescent="0.2">
      <c r="A656" s="189"/>
      <c r="B656" s="150" t="s">
        <v>1309</v>
      </c>
      <c r="C656" s="44" t="s">
        <v>1310</v>
      </c>
      <c r="D656" s="202">
        <v>0</v>
      </c>
      <c r="E656" s="202">
        <v>0</v>
      </c>
      <c r="F656" s="190" t="str">
        <f t="shared" si="13"/>
        <v>-</v>
      </c>
    </row>
    <row r="657" spans="1:6" customFormat="1" ht="24" customHeight="1" x14ac:dyDescent="0.2">
      <c r="A657" s="189" t="s">
        <v>1311</v>
      </c>
      <c r="B657" s="150" t="s">
        <v>1312</v>
      </c>
      <c r="C657" s="44" t="s">
        <v>1313</v>
      </c>
      <c r="D657" s="263">
        <v>0</v>
      </c>
      <c r="E657" s="263">
        <v>0</v>
      </c>
      <c r="F657" s="190" t="str">
        <f t="shared" si="13"/>
        <v>-</v>
      </c>
    </row>
    <row r="658" spans="1:6" customFormat="1" ht="12.75" customHeight="1" x14ac:dyDescent="0.2">
      <c r="A658" s="189" t="s">
        <v>1314</v>
      </c>
      <c r="B658" s="150" t="s">
        <v>1315</v>
      </c>
      <c r="C658" s="44" t="s">
        <v>1314</v>
      </c>
      <c r="D658" s="263">
        <v>47.78</v>
      </c>
      <c r="E658" s="263">
        <v>0</v>
      </c>
      <c r="F658" s="190">
        <f t="shared" si="13"/>
        <v>0</v>
      </c>
    </row>
    <row r="659" spans="1:6" customFormat="1" ht="12.75" customHeight="1" x14ac:dyDescent="0.2">
      <c r="A659" s="189" t="s">
        <v>1316</v>
      </c>
      <c r="B659" s="150" t="s">
        <v>1317</v>
      </c>
      <c r="C659" s="44" t="s">
        <v>1316</v>
      </c>
      <c r="D659" s="263">
        <v>0</v>
      </c>
      <c r="E659" s="263">
        <v>0</v>
      </c>
      <c r="F659" s="190" t="str">
        <f t="shared" si="13"/>
        <v>-</v>
      </c>
    </row>
    <row r="660" spans="1:6" customFormat="1" ht="12.75" customHeight="1" x14ac:dyDescent="0.2">
      <c r="A660" s="189" t="s">
        <v>1318</v>
      </c>
      <c r="B660" s="150" t="s">
        <v>1319</v>
      </c>
      <c r="C660" s="44" t="s">
        <v>1318</v>
      </c>
      <c r="D660" s="263">
        <v>0</v>
      </c>
      <c r="E660" s="263">
        <v>0</v>
      </c>
      <c r="F660" s="190" t="str">
        <f t="shared" si="13"/>
        <v>-</v>
      </c>
    </row>
    <row r="661" spans="1:6" customFormat="1" ht="12.75" customHeight="1" x14ac:dyDescent="0.2">
      <c r="A661" s="189" t="s">
        <v>1320</v>
      </c>
      <c r="B661" s="150" t="s">
        <v>1321</v>
      </c>
      <c r="C661" s="44" t="s">
        <v>1320</v>
      </c>
      <c r="D661" s="263">
        <v>230191</v>
      </c>
      <c r="E661" s="263">
        <v>243609.56</v>
      </c>
      <c r="F661" s="190">
        <f t="shared" si="13"/>
        <v>105.82931565526019</v>
      </c>
    </row>
    <row r="662" spans="1:6" customFormat="1" ht="12.75" customHeight="1" x14ac:dyDescent="0.2">
      <c r="A662" s="189" t="s">
        <v>1322</v>
      </c>
      <c r="B662" s="150" t="s">
        <v>1323</v>
      </c>
      <c r="C662" s="44" t="s">
        <v>1322</v>
      </c>
      <c r="D662" s="263">
        <v>8800</v>
      </c>
      <c r="E662" s="263">
        <v>5400</v>
      </c>
      <c r="F662" s="190">
        <f t="shared" si="13"/>
        <v>61.363636363636367</v>
      </c>
    </row>
    <row r="663" spans="1:6" customFormat="1" ht="12.75" customHeight="1" x14ac:dyDescent="0.2">
      <c r="A663" s="189" t="s">
        <v>1324</v>
      </c>
      <c r="B663" s="150" t="s">
        <v>1325</v>
      </c>
      <c r="C663" s="44" t="s">
        <v>1324</v>
      </c>
      <c r="D663" s="263">
        <v>0</v>
      </c>
      <c r="E663" s="263">
        <v>0</v>
      </c>
      <c r="F663" s="190" t="str">
        <f t="shared" si="13"/>
        <v>-</v>
      </c>
    </row>
    <row r="664" spans="1:6" customFormat="1" ht="12.75" customHeight="1" x14ac:dyDescent="0.2">
      <c r="A664" s="189" t="s">
        <v>1326</v>
      </c>
      <c r="B664" s="150" t="s">
        <v>1327</v>
      </c>
      <c r="C664" s="44" t="s">
        <v>1326</v>
      </c>
      <c r="D664" s="263">
        <v>0</v>
      </c>
      <c r="E664" s="263">
        <v>0</v>
      </c>
      <c r="F664" s="190" t="str">
        <f t="shared" si="13"/>
        <v>-</v>
      </c>
    </row>
    <row r="665" spans="1:6" customFormat="1" ht="12.75" customHeight="1" x14ac:dyDescent="0.2">
      <c r="A665" s="189" t="s">
        <v>1328</v>
      </c>
      <c r="B665" s="150" t="s">
        <v>1329</v>
      </c>
      <c r="C665" s="44" t="s">
        <v>1328</v>
      </c>
      <c r="D665" s="263">
        <v>26700</v>
      </c>
      <c r="E665" s="263">
        <v>32500</v>
      </c>
      <c r="F665" s="190">
        <f t="shared" si="13"/>
        <v>121.72284644194758</v>
      </c>
    </row>
    <row r="666" spans="1:6" customFormat="1" ht="12.75" customHeight="1" x14ac:dyDescent="0.2">
      <c r="A666" s="189" t="s">
        <v>1330</v>
      </c>
      <c r="B666" s="150" t="s">
        <v>1331</v>
      </c>
      <c r="C666" s="44" t="s">
        <v>1330</v>
      </c>
      <c r="D666" s="263">
        <v>126361</v>
      </c>
      <c r="E666" s="263">
        <v>210866.94</v>
      </c>
      <c r="F666" s="190">
        <f t="shared" si="13"/>
        <v>166.87659958373234</v>
      </c>
    </row>
    <row r="667" spans="1:6" customFormat="1" ht="12.75" customHeight="1" x14ac:dyDescent="0.2">
      <c r="A667" s="189" t="s">
        <v>1332</v>
      </c>
      <c r="B667" s="150" t="s">
        <v>1333</v>
      </c>
      <c r="C667" s="44" t="s">
        <v>1332</v>
      </c>
      <c r="D667" s="263">
        <v>0</v>
      </c>
      <c r="E667" s="263">
        <v>0</v>
      </c>
      <c r="F667" s="190" t="str">
        <f t="shared" si="13"/>
        <v>-</v>
      </c>
    </row>
    <row r="668" spans="1:6" customFormat="1" ht="12.75" customHeight="1" x14ac:dyDescent="0.2">
      <c r="A668" s="189" t="s">
        <v>1334</v>
      </c>
      <c r="B668" s="150" t="s">
        <v>1335</v>
      </c>
      <c r="C668" s="44" t="s">
        <v>1334</v>
      </c>
      <c r="D668" s="263">
        <v>0</v>
      </c>
      <c r="E668" s="263">
        <v>0</v>
      </c>
      <c r="F668" s="190" t="str">
        <f t="shared" si="13"/>
        <v>-</v>
      </c>
    </row>
    <row r="669" spans="1:6" customFormat="1" ht="12.75" customHeight="1" x14ac:dyDescent="0.2">
      <c r="A669" s="189" t="s">
        <v>1336</v>
      </c>
      <c r="B669" s="150" t="s">
        <v>1337</v>
      </c>
      <c r="C669" s="44" t="s">
        <v>1336</v>
      </c>
      <c r="D669" s="263">
        <v>0</v>
      </c>
      <c r="E669" s="263">
        <v>0</v>
      </c>
      <c r="F669" s="190" t="str">
        <f t="shared" si="13"/>
        <v>-</v>
      </c>
    </row>
    <row r="670" spans="1:6" customFormat="1" ht="12.75" customHeight="1" x14ac:dyDescent="0.2">
      <c r="A670" s="189" t="s">
        <v>1338</v>
      </c>
      <c r="B670" s="150" t="s">
        <v>1339</v>
      </c>
      <c r="C670" s="44" t="s">
        <v>1338</v>
      </c>
      <c r="D670" s="263">
        <v>0</v>
      </c>
      <c r="E670" s="263">
        <v>0</v>
      </c>
      <c r="F670" s="190" t="str">
        <f t="shared" si="13"/>
        <v>-</v>
      </c>
    </row>
    <row r="671" spans="1:6" customFormat="1" ht="24" customHeight="1" x14ac:dyDescent="0.2">
      <c r="A671" s="189" t="s">
        <v>1340</v>
      </c>
      <c r="B671" s="195" t="s">
        <v>1341</v>
      </c>
      <c r="C671" s="44" t="s">
        <v>1340</v>
      </c>
      <c r="D671" s="263">
        <v>0</v>
      </c>
      <c r="E671" s="263">
        <v>0</v>
      </c>
      <c r="F671" s="190" t="str">
        <f t="shared" si="13"/>
        <v>-</v>
      </c>
    </row>
    <row r="672" spans="1:6" customFormat="1" ht="12.75" customHeight="1" x14ac:dyDescent="0.2">
      <c r="A672" s="189" t="s">
        <v>1342</v>
      </c>
      <c r="B672" s="150" t="s">
        <v>1343</v>
      </c>
      <c r="C672" s="44" t="s">
        <v>1342</v>
      </c>
      <c r="D672" s="263">
        <v>0</v>
      </c>
      <c r="E672" s="263">
        <v>0</v>
      </c>
      <c r="F672" s="190" t="str">
        <f t="shared" si="13"/>
        <v>-</v>
      </c>
    </row>
    <row r="673" spans="1:6" customFormat="1" ht="12.75" customHeight="1" x14ac:dyDescent="0.2">
      <c r="A673" s="189" t="s">
        <v>1344</v>
      </c>
      <c r="B673" s="150" t="s">
        <v>1345</v>
      </c>
      <c r="C673" s="44" t="s">
        <v>1344</v>
      </c>
      <c r="D673" s="263">
        <v>0</v>
      </c>
      <c r="E673" s="263">
        <v>0</v>
      </c>
      <c r="F673" s="190" t="str">
        <f t="shared" si="13"/>
        <v>-</v>
      </c>
    </row>
    <row r="674" spans="1:6" customFormat="1" ht="24" customHeight="1" x14ac:dyDescent="0.2">
      <c r="A674" s="189" t="s">
        <v>1346</v>
      </c>
      <c r="B674" s="195" t="s">
        <v>1347</v>
      </c>
      <c r="C674" s="44" t="s">
        <v>1346</v>
      </c>
      <c r="D674" s="263">
        <v>0</v>
      </c>
      <c r="E674" s="263">
        <v>0</v>
      </c>
      <c r="F674" s="190" t="str">
        <f t="shared" si="13"/>
        <v>-</v>
      </c>
    </row>
    <row r="675" spans="1:6" customFormat="1" ht="24" customHeight="1" x14ac:dyDescent="0.2">
      <c r="A675" s="189" t="s">
        <v>1348</v>
      </c>
      <c r="B675" s="195" t="s">
        <v>1349</v>
      </c>
      <c r="C675" s="44" t="s">
        <v>1348</v>
      </c>
      <c r="D675" s="263">
        <v>0</v>
      </c>
      <c r="E675" s="263">
        <v>0</v>
      </c>
      <c r="F675" s="190" t="str">
        <f t="shared" si="13"/>
        <v>-</v>
      </c>
    </row>
    <row r="676" spans="1:6" customFormat="1" ht="24" customHeight="1" x14ac:dyDescent="0.2">
      <c r="A676" s="189" t="s">
        <v>1350</v>
      </c>
      <c r="B676" s="195" t="s">
        <v>1351</v>
      </c>
      <c r="C676" s="44" t="s">
        <v>1350</v>
      </c>
      <c r="D676" s="263">
        <v>0</v>
      </c>
      <c r="E676" s="263">
        <v>0</v>
      </c>
      <c r="F676" s="190" t="str">
        <f t="shared" si="13"/>
        <v>-</v>
      </c>
    </row>
    <row r="677" spans="1:6" customFormat="1" ht="24" customHeight="1" x14ac:dyDescent="0.2">
      <c r="A677" s="189" t="s">
        <v>1352</v>
      </c>
      <c r="B677" s="195" t="s">
        <v>1353</v>
      </c>
      <c r="C677" s="44" t="s">
        <v>1352</v>
      </c>
      <c r="D677" s="263">
        <v>0</v>
      </c>
      <c r="E677" s="263">
        <v>0</v>
      </c>
      <c r="F677" s="190" t="str">
        <f t="shared" si="13"/>
        <v>-</v>
      </c>
    </row>
    <row r="678" spans="1:6" customFormat="1" ht="24" customHeight="1" x14ac:dyDescent="0.2">
      <c r="A678" s="189" t="s">
        <v>1354</v>
      </c>
      <c r="B678" s="195" t="s">
        <v>1355</v>
      </c>
      <c r="C678" s="44" t="s">
        <v>1354</v>
      </c>
      <c r="D678" s="263">
        <v>0</v>
      </c>
      <c r="E678" s="263">
        <v>0</v>
      </c>
      <c r="F678" s="190" t="str">
        <f t="shared" si="13"/>
        <v>-</v>
      </c>
    </row>
    <row r="679" spans="1:6" customFormat="1" ht="12.75" customHeight="1" x14ac:dyDescent="0.2">
      <c r="A679" s="189" t="s">
        <v>1356</v>
      </c>
      <c r="B679" s="195" t="s">
        <v>1357</v>
      </c>
      <c r="C679" s="44" t="s">
        <v>1356</v>
      </c>
      <c r="D679" s="263">
        <v>0</v>
      </c>
      <c r="E679" s="263">
        <v>0</v>
      </c>
      <c r="F679" s="190" t="str">
        <f t="shared" si="13"/>
        <v>-</v>
      </c>
    </row>
    <row r="680" spans="1:6" customFormat="1" ht="12.75" customHeight="1" x14ac:dyDescent="0.2">
      <c r="A680" s="189" t="s">
        <v>1358</v>
      </c>
      <c r="B680" s="195" t="s">
        <v>1359</v>
      </c>
      <c r="C680" s="44" t="s">
        <v>1358</v>
      </c>
      <c r="D680" s="263">
        <v>0</v>
      </c>
      <c r="E680" s="263">
        <v>0</v>
      </c>
      <c r="F680" s="190" t="str">
        <f t="shared" si="13"/>
        <v>-</v>
      </c>
    </row>
    <row r="681" spans="1:6" customFormat="1" ht="12.75" customHeight="1" x14ac:dyDescent="0.2">
      <c r="A681" s="189" t="s">
        <v>1360</v>
      </c>
      <c r="B681" s="195" t="s">
        <v>1361</v>
      </c>
      <c r="C681" s="44" t="s">
        <v>1360</v>
      </c>
      <c r="D681" s="263">
        <v>0</v>
      </c>
      <c r="E681" s="263">
        <v>0</v>
      </c>
      <c r="F681" s="190" t="str">
        <f t="shared" si="13"/>
        <v>-</v>
      </c>
    </row>
    <row r="682" spans="1:6" customFormat="1" ht="12.75" customHeight="1" x14ac:dyDescent="0.2">
      <c r="A682" s="189" t="s">
        <v>1362</v>
      </c>
      <c r="B682" s="195" t="s">
        <v>1363</v>
      </c>
      <c r="C682" s="44" t="s">
        <v>1362</v>
      </c>
      <c r="D682" s="263">
        <v>0</v>
      </c>
      <c r="E682" s="263">
        <v>0</v>
      </c>
      <c r="F682" s="190" t="str">
        <f t="shared" si="13"/>
        <v>-</v>
      </c>
    </row>
    <row r="683" spans="1:6" customFormat="1" ht="12.75" customHeight="1" x14ac:dyDescent="0.2">
      <c r="A683" s="189" t="s">
        <v>1364</v>
      </c>
      <c r="B683" s="195" t="s">
        <v>1365</v>
      </c>
      <c r="C683" s="44" t="s">
        <v>1364</v>
      </c>
      <c r="D683" s="263">
        <v>0</v>
      </c>
      <c r="E683" s="263">
        <v>0</v>
      </c>
      <c r="F683" s="190" t="str">
        <f t="shared" si="13"/>
        <v>-</v>
      </c>
    </row>
    <row r="684" spans="1:6" customFormat="1" ht="24" customHeight="1" x14ac:dyDescent="0.2">
      <c r="A684" s="189" t="s">
        <v>1366</v>
      </c>
      <c r="B684" s="195" t="s">
        <v>1367</v>
      </c>
      <c r="C684" s="44" t="s">
        <v>1366</v>
      </c>
      <c r="D684" s="263">
        <v>0</v>
      </c>
      <c r="E684" s="263">
        <v>0</v>
      </c>
      <c r="F684" s="190" t="str">
        <f t="shared" si="13"/>
        <v>-</v>
      </c>
    </row>
    <row r="685" spans="1:6" customFormat="1" ht="24" customHeight="1" x14ac:dyDescent="0.2">
      <c r="A685" s="189" t="s">
        <v>1368</v>
      </c>
      <c r="B685" s="195" t="s">
        <v>1369</v>
      </c>
      <c r="C685" s="44" t="s">
        <v>1368</v>
      </c>
      <c r="D685" s="263">
        <v>0</v>
      </c>
      <c r="E685" s="263">
        <v>0</v>
      </c>
      <c r="F685" s="190" t="str">
        <f t="shared" si="13"/>
        <v>-</v>
      </c>
    </row>
    <row r="686" spans="1:6" customFormat="1" ht="24" customHeight="1" x14ac:dyDescent="0.2">
      <c r="A686" s="189" t="s">
        <v>1370</v>
      </c>
      <c r="B686" s="195" t="s">
        <v>1371</v>
      </c>
      <c r="C686" s="44" t="s">
        <v>1370</v>
      </c>
      <c r="D686" s="263">
        <v>0</v>
      </c>
      <c r="E686" s="263">
        <v>0</v>
      </c>
      <c r="F686" s="190" t="str">
        <f t="shared" si="13"/>
        <v>-</v>
      </c>
    </row>
    <row r="687" spans="1:6" customFormat="1" ht="24" customHeight="1" x14ac:dyDescent="0.2">
      <c r="A687" s="189" t="s">
        <v>1372</v>
      </c>
      <c r="B687" s="195" t="s">
        <v>1373</v>
      </c>
      <c r="C687" s="44" t="s">
        <v>1372</v>
      </c>
      <c r="D687" s="263">
        <v>0</v>
      </c>
      <c r="E687" s="263">
        <v>0</v>
      </c>
      <c r="F687" s="190" t="str">
        <f t="shared" si="13"/>
        <v>-</v>
      </c>
    </row>
    <row r="688" spans="1:6" customFormat="1" ht="12.75" customHeight="1" x14ac:dyDescent="0.2">
      <c r="A688" s="189" t="s">
        <v>1374</v>
      </c>
      <c r="B688" s="195" t="s">
        <v>1375</v>
      </c>
      <c r="C688" s="44" t="s">
        <v>1374</v>
      </c>
      <c r="D688" s="263">
        <v>0</v>
      </c>
      <c r="E688" s="263">
        <v>0</v>
      </c>
      <c r="F688" s="190" t="str">
        <f t="shared" si="13"/>
        <v>-</v>
      </c>
    </row>
    <row r="689" spans="1:6" customFormat="1" ht="12.75" customHeight="1" x14ac:dyDescent="0.2">
      <c r="A689" s="189" t="s">
        <v>1376</v>
      </c>
      <c r="B689" s="195" t="s">
        <v>1377</v>
      </c>
      <c r="C689" s="44" t="s">
        <v>1376</v>
      </c>
      <c r="D689" s="263">
        <v>0</v>
      </c>
      <c r="E689" s="263">
        <v>0</v>
      </c>
      <c r="F689" s="190" t="str">
        <f t="shared" si="13"/>
        <v>-</v>
      </c>
    </row>
    <row r="690" spans="1:6" customFormat="1" ht="12.75" customHeight="1" x14ac:dyDescent="0.2">
      <c r="A690" s="189" t="s">
        <v>1378</v>
      </c>
      <c r="B690" s="195" t="s">
        <v>1379</v>
      </c>
      <c r="C690" s="44" t="s">
        <v>1378</v>
      </c>
      <c r="D690" s="263">
        <v>0</v>
      </c>
      <c r="E690" s="263">
        <v>0</v>
      </c>
      <c r="F690" s="190" t="str">
        <f t="shared" si="13"/>
        <v>-</v>
      </c>
    </row>
    <row r="691" spans="1:6" customFormat="1" ht="12.75" customHeight="1" x14ac:dyDescent="0.2">
      <c r="A691" s="189" t="s">
        <v>1380</v>
      </c>
      <c r="B691" s="195" t="s">
        <v>1381</v>
      </c>
      <c r="C691" s="44" t="s">
        <v>1380</v>
      </c>
      <c r="D691" s="263">
        <v>0</v>
      </c>
      <c r="E691" s="263">
        <v>0</v>
      </c>
      <c r="F691" s="190" t="str">
        <f t="shared" si="13"/>
        <v>-</v>
      </c>
    </row>
    <row r="692" spans="1:6" customFormat="1" ht="24" customHeight="1" x14ac:dyDescent="0.2">
      <c r="A692" s="189" t="s">
        <v>1382</v>
      </c>
      <c r="B692" s="195" t="s">
        <v>1383</v>
      </c>
      <c r="C692" s="44" t="s">
        <v>1382</v>
      </c>
      <c r="D692" s="263">
        <v>0</v>
      </c>
      <c r="E692" s="263">
        <v>0</v>
      </c>
      <c r="F692" s="190" t="str">
        <f t="shared" si="13"/>
        <v>-</v>
      </c>
    </row>
    <row r="693" spans="1:6" customFormat="1" ht="24" customHeight="1" x14ac:dyDescent="0.2">
      <c r="A693" s="189" t="s">
        <v>1384</v>
      </c>
      <c r="B693" s="195" t="s">
        <v>1385</v>
      </c>
      <c r="C693" s="44" t="s">
        <v>1384</v>
      </c>
      <c r="D693" s="263">
        <v>0</v>
      </c>
      <c r="E693" s="263">
        <v>0</v>
      </c>
      <c r="F693" s="190" t="str">
        <f t="shared" si="13"/>
        <v>-</v>
      </c>
    </row>
    <row r="694" spans="1:6" customFormat="1" ht="12.75" customHeight="1" x14ac:dyDescent="0.2">
      <c r="A694" s="189" t="s">
        <v>1386</v>
      </c>
      <c r="B694" s="195" t="s">
        <v>1387</v>
      </c>
      <c r="C694" s="44" t="s">
        <v>1386</v>
      </c>
      <c r="D694" s="263">
        <v>0</v>
      </c>
      <c r="E694" s="263">
        <v>0</v>
      </c>
      <c r="F694" s="190" t="str">
        <f t="shared" si="13"/>
        <v>-</v>
      </c>
    </row>
    <row r="695" spans="1:6" customFormat="1" ht="12.75" customHeight="1" x14ac:dyDescent="0.2">
      <c r="A695" s="189" t="s">
        <v>1388</v>
      </c>
      <c r="B695" s="195" t="s">
        <v>1389</v>
      </c>
      <c r="C695" s="44" t="s">
        <v>1388</v>
      </c>
      <c r="D695" s="263">
        <v>0</v>
      </c>
      <c r="E695" s="263">
        <v>0</v>
      </c>
      <c r="F695" s="190" t="str">
        <f t="shared" si="13"/>
        <v>-</v>
      </c>
    </row>
    <row r="696" spans="1:6" customFormat="1" ht="24" customHeight="1" x14ac:dyDescent="0.2">
      <c r="A696" s="189" t="s">
        <v>1390</v>
      </c>
      <c r="B696" s="195" t="s">
        <v>1391</v>
      </c>
      <c r="C696" s="44" t="s">
        <v>1390</v>
      </c>
      <c r="D696" s="263">
        <v>0</v>
      </c>
      <c r="E696" s="263">
        <v>0</v>
      </c>
      <c r="F696" s="190" t="str">
        <f t="shared" si="13"/>
        <v>-</v>
      </c>
    </row>
    <row r="697" spans="1:6" customFormat="1" ht="24" customHeight="1" x14ac:dyDescent="0.2">
      <c r="A697" s="189" t="s">
        <v>1392</v>
      </c>
      <c r="B697" s="195" t="s">
        <v>1393</v>
      </c>
      <c r="C697" s="44" t="s">
        <v>1392</v>
      </c>
      <c r="D697" s="263">
        <v>0</v>
      </c>
      <c r="E697" s="263">
        <v>0</v>
      </c>
      <c r="F697" s="190" t="str">
        <f t="shared" si="13"/>
        <v>-</v>
      </c>
    </row>
    <row r="698" spans="1:6" customFormat="1" ht="12.75" customHeight="1" x14ac:dyDescent="0.2">
      <c r="A698" s="189" t="s">
        <v>1394</v>
      </c>
      <c r="B698" s="195" t="s">
        <v>1395</v>
      </c>
      <c r="C698" s="44" t="s">
        <v>1394</v>
      </c>
      <c r="D698" s="263">
        <v>129825.81</v>
      </c>
      <c r="E698" s="263">
        <v>0</v>
      </c>
      <c r="F698" s="190">
        <f t="shared" si="13"/>
        <v>0</v>
      </c>
    </row>
    <row r="699" spans="1:6" customFormat="1" ht="12.75" customHeight="1" x14ac:dyDescent="0.2">
      <c r="A699" s="189" t="s">
        <v>1396</v>
      </c>
      <c r="B699" s="195" t="s">
        <v>1397</v>
      </c>
      <c r="C699" s="44" t="s">
        <v>1396</v>
      </c>
      <c r="D699" s="263">
        <v>0</v>
      </c>
      <c r="E699" s="263">
        <v>0</v>
      </c>
      <c r="F699" s="190" t="str">
        <f t="shared" si="13"/>
        <v>-</v>
      </c>
    </row>
    <row r="700" spans="1:6" customFormat="1" ht="24" customHeight="1" x14ac:dyDescent="0.2">
      <c r="A700" s="189" t="s">
        <v>1398</v>
      </c>
      <c r="B700" s="195" t="s">
        <v>1399</v>
      </c>
      <c r="C700" s="44" t="s">
        <v>1398</v>
      </c>
      <c r="D700" s="263">
        <v>0</v>
      </c>
      <c r="E700" s="263">
        <v>0</v>
      </c>
      <c r="F700" s="190" t="str">
        <f t="shared" si="13"/>
        <v>-</v>
      </c>
    </row>
    <row r="701" spans="1:6" customFormat="1" ht="24" customHeight="1" x14ac:dyDescent="0.2">
      <c r="A701" s="189" t="s">
        <v>1400</v>
      </c>
      <c r="B701" s="195" t="s">
        <v>1401</v>
      </c>
      <c r="C701" s="44" t="s">
        <v>1400</v>
      </c>
      <c r="D701" s="263">
        <v>0</v>
      </c>
      <c r="E701" s="263">
        <v>0</v>
      </c>
      <c r="F701" s="190" t="str">
        <f t="shared" si="13"/>
        <v>-</v>
      </c>
    </row>
    <row r="702" spans="1:6" customFormat="1" ht="12.75" customHeight="1" x14ac:dyDescent="0.2">
      <c r="A702" s="189" t="s">
        <v>1402</v>
      </c>
      <c r="B702" s="150" t="s">
        <v>1403</v>
      </c>
      <c r="C702" s="44" t="s">
        <v>1402</v>
      </c>
      <c r="D702" s="263">
        <v>0</v>
      </c>
      <c r="E702" s="263">
        <v>0</v>
      </c>
      <c r="F702" s="190" t="str">
        <f t="shared" si="13"/>
        <v>-</v>
      </c>
    </row>
    <row r="703" spans="1:6" customFormat="1" ht="12.75" customHeight="1" x14ac:dyDescent="0.2">
      <c r="A703" s="189" t="s">
        <v>1404</v>
      </c>
      <c r="B703" s="150" t="s">
        <v>1405</v>
      </c>
      <c r="C703" s="44" t="s">
        <v>1404</v>
      </c>
      <c r="D703" s="263">
        <v>0</v>
      </c>
      <c r="E703" s="263">
        <v>0</v>
      </c>
      <c r="F703" s="190" t="str">
        <f t="shared" si="13"/>
        <v>-</v>
      </c>
    </row>
    <row r="704" spans="1:6" customFormat="1" ht="12.75" customHeight="1" x14ac:dyDescent="0.2">
      <c r="A704" s="189" t="s">
        <v>1406</v>
      </c>
      <c r="B704" s="150" t="s">
        <v>1407</v>
      </c>
      <c r="C704" s="44" t="s">
        <v>1406</v>
      </c>
      <c r="D704" s="263">
        <v>0</v>
      </c>
      <c r="E704" s="263">
        <v>0</v>
      </c>
      <c r="F704" s="190" t="str">
        <f t="shared" si="13"/>
        <v>-</v>
      </c>
    </row>
    <row r="705" spans="1:6" customFormat="1" ht="12.75" customHeight="1" x14ac:dyDescent="0.2">
      <c r="A705" s="189" t="s">
        <v>1408</v>
      </c>
      <c r="B705" s="150" t="s">
        <v>1409</v>
      </c>
      <c r="C705" s="44" t="s">
        <v>1408</v>
      </c>
      <c r="D705" s="263">
        <v>0</v>
      </c>
      <c r="E705" s="263">
        <v>0</v>
      </c>
      <c r="F705" s="190" t="str">
        <f t="shared" si="13"/>
        <v>-</v>
      </c>
    </row>
    <row r="706" spans="1:6" customFormat="1" ht="12.75" customHeight="1" x14ac:dyDescent="0.2">
      <c r="A706" s="189" t="s">
        <v>1410</v>
      </c>
      <c r="B706" s="150" t="s">
        <v>1411</v>
      </c>
      <c r="C706" s="44" t="s">
        <v>1410</v>
      </c>
      <c r="D706" s="263">
        <v>0</v>
      </c>
      <c r="E706" s="263">
        <v>0</v>
      </c>
      <c r="F706" s="190" t="str">
        <f t="shared" si="13"/>
        <v>-</v>
      </c>
    </row>
    <row r="707" spans="1:6" customFormat="1" ht="12.75" customHeight="1" x14ac:dyDescent="0.2">
      <c r="A707" s="189" t="s">
        <v>1412</v>
      </c>
      <c r="B707" s="150" t="s">
        <v>1413</v>
      </c>
      <c r="C707" s="44" t="s">
        <v>1412</v>
      </c>
      <c r="D707" s="263">
        <v>0</v>
      </c>
      <c r="E707" s="263">
        <v>0</v>
      </c>
      <c r="F707" s="190" t="str">
        <f t="shared" si="13"/>
        <v>-</v>
      </c>
    </row>
    <row r="708" spans="1:6" customFormat="1" ht="24" customHeight="1" x14ac:dyDescent="0.2">
      <c r="A708" s="189" t="s">
        <v>1414</v>
      </c>
      <c r="B708" s="195" t="s">
        <v>1415</v>
      </c>
      <c r="C708" s="44" t="s">
        <v>1414</v>
      </c>
      <c r="D708" s="263">
        <v>0</v>
      </c>
      <c r="E708" s="263">
        <v>0</v>
      </c>
      <c r="F708" s="190" t="str">
        <f t="shared" si="13"/>
        <v>-</v>
      </c>
    </row>
    <row r="709" spans="1:6" customFormat="1" ht="24" customHeight="1" x14ac:dyDescent="0.2">
      <c r="A709" s="189" t="s">
        <v>1416</v>
      </c>
      <c r="B709" s="150" t="s">
        <v>1417</v>
      </c>
      <c r="C709" s="44" t="s">
        <v>1416</v>
      </c>
      <c r="D709" s="263">
        <v>0</v>
      </c>
      <c r="E709" s="263">
        <v>0</v>
      </c>
      <c r="F709" s="190" t="str">
        <f t="shared" si="13"/>
        <v>-</v>
      </c>
    </row>
    <row r="710" spans="1:6" customFormat="1" ht="12.75" customHeight="1" x14ac:dyDescent="0.2">
      <c r="A710" s="189" t="s">
        <v>1418</v>
      </c>
      <c r="B710" s="150" t="s">
        <v>1419</v>
      </c>
      <c r="C710" s="44" t="s">
        <v>1418</v>
      </c>
      <c r="D710" s="263">
        <v>0</v>
      </c>
      <c r="E710" s="263">
        <v>0</v>
      </c>
      <c r="F710" s="190" t="str">
        <f t="shared" si="13"/>
        <v>-</v>
      </c>
    </row>
    <row r="711" spans="1:6" customFormat="1" ht="12.75" customHeight="1" x14ac:dyDescent="0.2">
      <c r="A711" s="189" t="s">
        <v>1420</v>
      </c>
      <c r="B711" s="150" t="s">
        <v>1421</v>
      </c>
      <c r="C711" s="44" t="s">
        <v>1420</v>
      </c>
      <c r="D711" s="263">
        <v>0</v>
      </c>
      <c r="E711" s="263">
        <v>0</v>
      </c>
      <c r="F711" s="190" t="str">
        <f t="shared" si="13"/>
        <v>-</v>
      </c>
    </row>
    <row r="712" spans="1:6" customFormat="1" ht="12.75" customHeight="1" x14ac:dyDescent="0.2">
      <c r="A712" s="189" t="s">
        <v>1422</v>
      </c>
      <c r="B712" s="150" t="s">
        <v>1423</v>
      </c>
      <c r="C712" s="44" t="s">
        <v>1422</v>
      </c>
      <c r="D712" s="263">
        <v>0</v>
      </c>
      <c r="E712" s="263">
        <v>0</v>
      </c>
      <c r="F712" s="190" t="str">
        <f t="shared" si="13"/>
        <v>-</v>
      </c>
    </row>
    <row r="713" spans="1:6" customFormat="1" ht="24" customHeight="1" x14ac:dyDescent="0.2">
      <c r="A713" s="189" t="s">
        <v>1424</v>
      </c>
      <c r="B713" s="150" t="s">
        <v>1425</v>
      </c>
      <c r="C713" s="44" t="s">
        <v>1424</v>
      </c>
      <c r="D713" s="263">
        <v>0</v>
      </c>
      <c r="E713" s="263">
        <v>0</v>
      </c>
      <c r="F713" s="190" t="str">
        <f t="shared" ref="F713:F776" si="14">IF(D713&lt;&gt;0,IF(E713/D713&gt;=100,"&gt;&gt;100",E713/D713*100),"-")</f>
        <v>-</v>
      </c>
    </row>
    <row r="714" spans="1:6" customFormat="1" ht="24" customHeight="1" x14ac:dyDescent="0.2">
      <c r="A714" s="189" t="s">
        <v>1426</v>
      </c>
      <c r="B714" s="150" t="s">
        <v>1427</v>
      </c>
      <c r="C714" s="44" t="s">
        <v>1426</v>
      </c>
      <c r="D714" s="263">
        <v>0</v>
      </c>
      <c r="E714" s="263">
        <v>0</v>
      </c>
      <c r="F714" s="190" t="str">
        <f t="shared" si="14"/>
        <v>-</v>
      </c>
    </row>
    <row r="715" spans="1:6" customFormat="1" ht="24" customHeight="1" x14ac:dyDescent="0.2">
      <c r="A715" s="189" t="s">
        <v>1428</v>
      </c>
      <c r="B715" s="150" t="s">
        <v>1429</v>
      </c>
      <c r="C715" s="44" t="s">
        <v>1428</v>
      </c>
      <c r="D715" s="263">
        <v>0</v>
      </c>
      <c r="E715" s="263">
        <v>0</v>
      </c>
      <c r="F715" s="190" t="str">
        <f t="shared" si="14"/>
        <v>-</v>
      </c>
    </row>
    <row r="716" spans="1:6" customFormat="1" ht="12.75" customHeight="1" x14ac:dyDescent="0.2">
      <c r="A716" s="189" t="s">
        <v>1430</v>
      </c>
      <c r="B716" s="150" t="s">
        <v>1431</v>
      </c>
      <c r="C716" s="44" t="s">
        <v>1430</v>
      </c>
      <c r="D716" s="263">
        <v>0</v>
      </c>
      <c r="E716" s="263">
        <v>0</v>
      </c>
      <c r="F716" s="190" t="str">
        <f t="shared" si="14"/>
        <v>-</v>
      </c>
    </row>
    <row r="717" spans="1:6" customFormat="1" ht="12.75" customHeight="1" x14ac:dyDescent="0.2">
      <c r="A717" s="189" t="s">
        <v>1432</v>
      </c>
      <c r="B717" s="150" t="s">
        <v>1433</v>
      </c>
      <c r="C717" s="44" t="s">
        <v>1432</v>
      </c>
      <c r="D717" s="263">
        <v>0</v>
      </c>
      <c r="E717" s="263">
        <v>0</v>
      </c>
      <c r="F717" s="190" t="str">
        <f t="shared" si="14"/>
        <v>-</v>
      </c>
    </row>
    <row r="718" spans="1:6" customFormat="1" ht="12.75" customHeight="1" x14ac:dyDescent="0.2">
      <c r="A718" s="189" t="s">
        <v>1434</v>
      </c>
      <c r="B718" s="150" t="s">
        <v>1435</v>
      </c>
      <c r="C718" s="44" t="s">
        <v>1434</v>
      </c>
      <c r="D718" s="263">
        <v>2069.52</v>
      </c>
      <c r="E718" s="263">
        <v>2235.89</v>
      </c>
      <c r="F718" s="190">
        <f t="shared" si="14"/>
        <v>108.03906219799759</v>
      </c>
    </row>
    <row r="719" spans="1:6" customFormat="1" ht="12.75" customHeight="1" x14ac:dyDescent="0.2">
      <c r="A719" s="189" t="s">
        <v>1436</v>
      </c>
      <c r="B719" s="150" t="s">
        <v>1437</v>
      </c>
      <c r="C719" s="44" t="s">
        <v>1436</v>
      </c>
      <c r="D719" s="263">
        <v>0</v>
      </c>
      <c r="E719" s="263">
        <v>0</v>
      </c>
      <c r="F719" s="190" t="str">
        <f t="shared" si="14"/>
        <v>-</v>
      </c>
    </row>
    <row r="720" spans="1:6" customFormat="1" ht="12.75" customHeight="1" x14ac:dyDescent="0.2">
      <c r="A720" s="189" t="s">
        <v>1438</v>
      </c>
      <c r="B720" s="150" t="s">
        <v>1439</v>
      </c>
      <c r="C720" s="44" t="s">
        <v>1438</v>
      </c>
      <c r="D720" s="263">
        <v>0</v>
      </c>
      <c r="E720" s="263">
        <v>0</v>
      </c>
      <c r="F720" s="190" t="str">
        <f t="shared" si="14"/>
        <v>-</v>
      </c>
    </row>
    <row r="721" spans="1:6" customFormat="1" ht="12.75" customHeight="1" x14ac:dyDescent="0.2">
      <c r="A721" s="189" t="s">
        <v>1440</v>
      </c>
      <c r="B721" s="150" t="s">
        <v>1441</v>
      </c>
      <c r="C721" s="44" t="s">
        <v>1440</v>
      </c>
      <c r="D721" s="263">
        <v>0</v>
      </c>
      <c r="E721" s="263">
        <v>0</v>
      </c>
      <c r="F721" s="190" t="str">
        <f t="shared" si="14"/>
        <v>-</v>
      </c>
    </row>
    <row r="722" spans="1:6" customFormat="1" ht="12.75" customHeight="1" x14ac:dyDescent="0.2">
      <c r="A722" s="189" t="s">
        <v>1442</v>
      </c>
      <c r="B722" s="150" t="s">
        <v>1443</v>
      </c>
      <c r="C722" s="44" t="s">
        <v>1442</v>
      </c>
      <c r="D722" s="263">
        <v>6358.68</v>
      </c>
      <c r="E722" s="263">
        <v>780.58</v>
      </c>
      <c r="F722" s="190">
        <f t="shared" si="14"/>
        <v>12.275818251586808</v>
      </c>
    </row>
    <row r="723" spans="1:6" customFormat="1" ht="12.75" customHeight="1" x14ac:dyDescent="0.2">
      <c r="A723" s="189" t="s">
        <v>1444</v>
      </c>
      <c r="B723" s="150" t="s">
        <v>1445</v>
      </c>
      <c r="C723" s="44" t="s">
        <v>1444</v>
      </c>
      <c r="D723" s="263">
        <v>443.41</v>
      </c>
      <c r="E723" s="263">
        <v>1896.5</v>
      </c>
      <c r="F723" s="190">
        <f t="shared" si="14"/>
        <v>427.70799034753384</v>
      </c>
    </row>
    <row r="724" spans="1:6" customFormat="1" ht="12.75" customHeight="1" x14ac:dyDescent="0.2">
      <c r="A724" s="189" t="s">
        <v>1446</v>
      </c>
      <c r="B724" s="150" t="s">
        <v>1447</v>
      </c>
      <c r="C724" s="44" t="s">
        <v>1446</v>
      </c>
      <c r="D724" s="263">
        <v>0</v>
      </c>
      <c r="E724" s="263">
        <v>0</v>
      </c>
      <c r="F724" s="190" t="str">
        <f t="shared" si="14"/>
        <v>-</v>
      </c>
    </row>
    <row r="725" spans="1:6" customFormat="1" ht="12.75" customHeight="1" x14ac:dyDescent="0.2">
      <c r="A725" s="189" t="s">
        <v>1448</v>
      </c>
      <c r="B725" s="150" t="s">
        <v>1449</v>
      </c>
      <c r="C725" s="44" t="s">
        <v>1448</v>
      </c>
      <c r="D725" s="263">
        <v>11739.6</v>
      </c>
      <c r="E725" s="263">
        <v>11652.48</v>
      </c>
      <c r="F725" s="190">
        <f t="shared" si="14"/>
        <v>99.257896350812629</v>
      </c>
    </row>
    <row r="726" spans="1:6" customFormat="1" ht="12.75" customHeight="1" x14ac:dyDescent="0.2">
      <c r="A726" s="189" t="s">
        <v>1450</v>
      </c>
      <c r="B726" s="150" t="s">
        <v>1451</v>
      </c>
      <c r="C726" s="44" t="s">
        <v>1450</v>
      </c>
      <c r="D726" s="263">
        <v>161.35</v>
      </c>
      <c r="E726" s="263">
        <v>161.35</v>
      </c>
      <c r="F726" s="190">
        <f t="shared" si="14"/>
        <v>100</v>
      </c>
    </row>
    <row r="727" spans="1:6" customFormat="1" ht="12.75" customHeight="1" x14ac:dyDescent="0.2">
      <c r="A727" s="189" t="s">
        <v>1452</v>
      </c>
      <c r="B727" s="150" t="s">
        <v>1453</v>
      </c>
      <c r="C727" s="44" t="s">
        <v>1452</v>
      </c>
      <c r="D727" s="263">
        <v>0</v>
      </c>
      <c r="E727" s="263">
        <v>0</v>
      </c>
      <c r="F727" s="190" t="str">
        <f t="shared" si="14"/>
        <v>-</v>
      </c>
    </row>
    <row r="728" spans="1:6" customFormat="1" ht="12.75" customHeight="1" x14ac:dyDescent="0.2">
      <c r="A728" s="189" t="s">
        <v>1454</v>
      </c>
      <c r="B728" s="150" t="s">
        <v>1455</v>
      </c>
      <c r="C728" s="44" t="s">
        <v>1454</v>
      </c>
      <c r="D728" s="263">
        <v>0</v>
      </c>
      <c r="E728" s="263">
        <v>0</v>
      </c>
      <c r="F728" s="190" t="str">
        <f t="shared" si="14"/>
        <v>-</v>
      </c>
    </row>
    <row r="729" spans="1:6" customFormat="1" ht="12.75" customHeight="1" x14ac:dyDescent="0.2">
      <c r="A729" s="189" t="s">
        <v>1456</v>
      </c>
      <c r="B729" s="150" t="s">
        <v>1457</v>
      </c>
      <c r="C729" s="44" t="s">
        <v>1456</v>
      </c>
      <c r="D729" s="263">
        <v>0</v>
      </c>
      <c r="E729" s="263">
        <v>0</v>
      </c>
      <c r="F729" s="190" t="str">
        <f t="shared" si="14"/>
        <v>-</v>
      </c>
    </row>
    <row r="730" spans="1:6" customFormat="1" ht="12.75" customHeight="1" x14ac:dyDescent="0.2">
      <c r="A730" s="189" t="s">
        <v>1458</v>
      </c>
      <c r="B730" s="150" t="s">
        <v>1459</v>
      </c>
      <c r="C730" s="44" t="s">
        <v>1458</v>
      </c>
      <c r="D730" s="263">
        <v>0</v>
      </c>
      <c r="E730" s="263">
        <v>0</v>
      </c>
      <c r="F730" s="190" t="str">
        <f t="shared" si="14"/>
        <v>-</v>
      </c>
    </row>
    <row r="731" spans="1:6" customFormat="1" ht="12.75" customHeight="1" x14ac:dyDescent="0.2">
      <c r="A731" s="189" t="s">
        <v>1460</v>
      </c>
      <c r="B731" s="150" t="s">
        <v>1461</v>
      </c>
      <c r="C731" s="44" t="s">
        <v>1460</v>
      </c>
      <c r="D731" s="263">
        <v>0</v>
      </c>
      <c r="E731" s="263">
        <v>0</v>
      </c>
      <c r="F731" s="190" t="str">
        <f t="shared" si="14"/>
        <v>-</v>
      </c>
    </row>
    <row r="732" spans="1:6" customFormat="1" ht="12.75" customHeight="1" x14ac:dyDescent="0.2">
      <c r="A732" s="189" t="s">
        <v>1462</v>
      </c>
      <c r="B732" s="150" t="s">
        <v>1463</v>
      </c>
      <c r="C732" s="44" t="s">
        <v>1462</v>
      </c>
      <c r="D732" s="263">
        <v>0</v>
      </c>
      <c r="E732" s="263">
        <v>0</v>
      </c>
      <c r="F732" s="190" t="str">
        <f t="shared" si="14"/>
        <v>-</v>
      </c>
    </row>
    <row r="733" spans="1:6" customFormat="1" ht="12.75" customHeight="1" x14ac:dyDescent="0.2">
      <c r="A733" s="189" t="s">
        <v>1464</v>
      </c>
      <c r="B733" s="150" t="s">
        <v>1465</v>
      </c>
      <c r="C733" s="44" t="s">
        <v>1464</v>
      </c>
      <c r="D733" s="263">
        <v>0</v>
      </c>
      <c r="E733" s="263">
        <v>0</v>
      </c>
      <c r="F733" s="190" t="str">
        <f t="shared" si="14"/>
        <v>-</v>
      </c>
    </row>
    <row r="734" spans="1:6" customFormat="1" ht="12.75" customHeight="1" x14ac:dyDescent="0.2">
      <c r="A734" s="189" t="s">
        <v>1466</v>
      </c>
      <c r="B734" s="150" t="s">
        <v>1467</v>
      </c>
      <c r="C734" s="44" t="s">
        <v>1466</v>
      </c>
      <c r="D734" s="263">
        <v>0</v>
      </c>
      <c r="E734" s="263">
        <v>0</v>
      </c>
      <c r="F734" s="190" t="str">
        <f t="shared" si="14"/>
        <v>-</v>
      </c>
    </row>
    <row r="735" spans="1:6" customFormat="1" ht="12.75" customHeight="1" x14ac:dyDescent="0.2">
      <c r="A735" s="189" t="s">
        <v>1468</v>
      </c>
      <c r="B735" s="150" t="s">
        <v>1469</v>
      </c>
      <c r="C735" s="44" t="s">
        <v>1468</v>
      </c>
      <c r="D735" s="263">
        <v>0</v>
      </c>
      <c r="E735" s="263">
        <v>0</v>
      </c>
      <c r="F735" s="190" t="str">
        <f t="shared" si="14"/>
        <v>-</v>
      </c>
    </row>
    <row r="736" spans="1:6" customFormat="1" ht="12.75" customHeight="1" x14ac:dyDescent="0.2">
      <c r="A736" s="189" t="s">
        <v>1470</v>
      </c>
      <c r="B736" s="150" t="s">
        <v>1471</v>
      </c>
      <c r="C736" s="44" t="s">
        <v>1470</v>
      </c>
      <c r="D736" s="263">
        <v>0</v>
      </c>
      <c r="E736" s="263">
        <v>0</v>
      </c>
      <c r="F736" s="190" t="str">
        <f t="shared" si="14"/>
        <v>-</v>
      </c>
    </row>
    <row r="737" spans="1:6" customFormat="1" ht="12.75" customHeight="1" x14ac:dyDescent="0.2">
      <c r="A737" s="189" t="s">
        <v>1472</v>
      </c>
      <c r="B737" s="150" t="s">
        <v>1473</v>
      </c>
      <c r="C737" s="44" t="s">
        <v>1472</v>
      </c>
      <c r="D737" s="263">
        <v>0</v>
      </c>
      <c r="E737" s="263">
        <v>0</v>
      </c>
      <c r="F737" s="190" t="str">
        <f t="shared" si="14"/>
        <v>-</v>
      </c>
    </row>
    <row r="738" spans="1:6" customFormat="1" ht="12.75" customHeight="1" x14ac:dyDescent="0.2">
      <c r="A738" s="189" t="s">
        <v>1474</v>
      </c>
      <c r="B738" s="150" t="s">
        <v>1475</v>
      </c>
      <c r="C738" s="44" t="s">
        <v>1474</v>
      </c>
      <c r="D738" s="263">
        <v>0</v>
      </c>
      <c r="E738" s="263">
        <v>0</v>
      </c>
      <c r="F738" s="190" t="str">
        <f t="shared" si="14"/>
        <v>-</v>
      </c>
    </row>
    <row r="739" spans="1:6" customFormat="1" ht="12.75" customHeight="1" x14ac:dyDescent="0.2">
      <c r="A739" s="189" t="s">
        <v>1476</v>
      </c>
      <c r="B739" s="150" t="s">
        <v>1477</v>
      </c>
      <c r="C739" s="44" t="s">
        <v>1476</v>
      </c>
      <c r="D739" s="263">
        <v>0</v>
      </c>
      <c r="E739" s="263">
        <v>720.62</v>
      </c>
      <c r="F739" s="190" t="str">
        <f t="shared" si="14"/>
        <v>-</v>
      </c>
    </row>
    <row r="740" spans="1:6" customFormat="1" ht="12.75" customHeight="1" x14ac:dyDescent="0.2">
      <c r="A740" s="189" t="s">
        <v>1478</v>
      </c>
      <c r="B740" s="150" t="s">
        <v>1479</v>
      </c>
      <c r="C740" s="44" t="s">
        <v>1478</v>
      </c>
      <c r="D740" s="263">
        <v>0</v>
      </c>
      <c r="E740" s="263">
        <v>0</v>
      </c>
      <c r="F740" s="190" t="str">
        <f t="shared" si="14"/>
        <v>-</v>
      </c>
    </row>
    <row r="741" spans="1:6" customFormat="1" ht="24" customHeight="1" x14ac:dyDescent="0.2">
      <c r="A741" s="189" t="s">
        <v>1480</v>
      </c>
      <c r="B741" s="150" t="s">
        <v>1481</v>
      </c>
      <c r="C741" s="44" t="s">
        <v>1480</v>
      </c>
      <c r="D741" s="263">
        <v>0</v>
      </c>
      <c r="E741" s="263">
        <v>0</v>
      </c>
      <c r="F741" s="190" t="str">
        <f t="shared" si="14"/>
        <v>-</v>
      </c>
    </row>
    <row r="742" spans="1:6" customFormat="1" ht="24" customHeight="1" x14ac:dyDescent="0.2">
      <c r="A742" s="189" t="s">
        <v>1482</v>
      </c>
      <c r="B742" s="150" t="s">
        <v>1483</v>
      </c>
      <c r="C742" s="44" t="s">
        <v>1482</v>
      </c>
      <c r="D742" s="263">
        <v>0</v>
      </c>
      <c r="E742" s="263">
        <v>0</v>
      </c>
      <c r="F742" s="190" t="str">
        <f t="shared" si="14"/>
        <v>-</v>
      </c>
    </row>
    <row r="743" spans="1:6" customFormat="1" ht="24" customHeight="1" x14ac:dyDescent="0.2">
      <c r="A743" s="189" t="s">
        <v>1484</v>
      </c>
      <c r="B743" s="195" t="s">
        <v>1485</v>
      </c>
      <c r="C743" s="44" t="s">
        <v>1484</v>
      </c>
      <c r="D743" s="263">
        <v>0</v>
      </c>
      <c r="E743" s="263">
        <v>0</v>
      </c>
      <c r="F743" s="190" t="str">
        <f t="shared" si="14"/>
        <v>-</v>
      </c>
    </row>
    <row r="744" spans="1:6" customFormat="1" ht="24" customHeight="1" x14ac:dyDescent="0.2">
      <c r="A744" s="189" t="s">
        <v>1486</v>
      </c>
      <c r="B744" s="195" t="s">
        <v>1487</v>
      </c>
      <c r="C744" s="44" t="s">
        <v>1486</v>
      </c>
      <c r="D744" s="263">
        <v>0</v>
      </c>
      <c r="E744" s="263">
        <v>0</v>
      </c>
      <c r="F744" s="190" t="str">
        <f t="shared" si="14"/>
        <v>-</v>
      </c>
    </row>
    <row r="745" spans="1:6" customFormat="1" ht="12.75" customHeight="1" x14ac:dyDescent="0.2">
      <c r="A745" s="189" t="s">
        <v>1488</v>
      </c>
      <c r="B745" s="150" t="s">
        <v>1489</v>
      </c>
      <c r="C745" s="44" t="s">
        <v>1488</v>
      </c>
      <c r="D745" s="263">
        <v>0</v>
      </c>
      <c r="E745" s="263">
        <v>0</v>
      </c>
      <c r="F745" s="190" t="str">
        <f t="shared" si="14"/>
        <v>-</v>
      </c>
    </row>
    <row r="746" spans="1:6" customFormat="1" ht="12.75" customHeight="1" x14ac:dyDescent="0.2">
      <c r="A746" s="189" t="s">
        <v>1490</v>
      </c>
      <c r="B746" s="150" t="s">
        <v>1491</v>
      </c>
      <c r="C746" s="44" t="s">
        <v>1490</v>
      </c>
      <c r="D746" s="263">
        <v>0</v>
      </c>
      <c r="E746" s="263">
        <v>0</v>
      </c>
      <c r="F746" s="190" t="str">
        <f t="shared" si="14"/>
        <v>-</v>
      </c>
    </row>
    <row r="747" spans="1:6" customFormat="1" ht="12.75" customHeight="1" x14ac:dyDescent="0.2">
      <c r="A747" s="189" t="s">
        <v>1492</v>
      </c>
      <c r="B747" s="150" t="s">
        <v>1493</v>
      </c>
      <c r="C747" s="44" t="s">
        <v>1492</v>
      </c>
      <c r="D747" s="263">
        <v>0</v>
      </c>
      <c r="E747" s="263">
        <v>0</v>
      </c>
      <c r="F747" s="190" t="str">
        <f t="shared" si="14"/>
        <v>-</v>
      </c>
    </row>
    <row r="748" spans="1:6" customFormat="1" ht="24" customHeight="1" x14ac:dyDescent="0.2">
      <c r="A748" s="189" t="s">
        <v>1494</v>
      </c>
      <c r="B748" s="150" t="s">
        <v>1495</v>
      </c>
      <c r="C748" s="44" t="s">
        <v>1494</v>
      </c>
      <c r="D748" s="263">
        <v>0</v>
      </c>
      <c r="E748" s="263">
        <v>0</v>
      </c>
      <c r="F748" s="190" t="str">
        <f t="shared" si="14"/>
        <v>-</v>
      </c>
    </row>
    <row r="749" spans="1:6" customFormat="1" ht="12.75" customHeight="1" x14ac:dyDescent="0.2">
      <c r="A749" s="189" t="s">
        <v>1496</v>
      </c>
      <c r="B749" s="150" t="s">
        <v>1497</v>
      </c>
      <c r="C749" s="44" t="s">
        <v>1496</v>
      </c>
      <c r="D749" s="263">
        <v>0</v>
      </c>
      <c r="E749" s="263">
        <v>0</v>
      </c>
      <c r="F749" s="190" t="str">
        <f t="shared" si="14"/>
        <v>-</v>
      </c>
    </row>
    <row r="750" spans="1:6" customFormat="1" ht="12.75" customHeight="1" x14ac:dyDescent="0.2">
      <c r="A750" s="189" t="s">
        <v>1498</v>
      </c>
      <c r="B750" s="150" t="s">
        <v>1499</v>
      </c>
      <c r="C750" s="44" t="s">
        <v>1498</v>
      </c>
      <c r="D750" s="263">
        <v>0</v>
      </c>
      <c r="E750" s="263">
        <v>0</v>
      </c>
      <c r="F750" s="190" t="str">
        <f t="shared" si="14"/>
        <v>-</v>
      </c>
    </row>
    <row r="751" spans="1:6" customFormat="1" ht="12.75" customHeight="1" x14ac:dyDescent="0.2">
      <c r="A751" s="189" t="s">
        <v>1500</v>
      </c>
      <c r="B751" s="150" t="s">
        <v>1501</v>
      </c>
      <c r="C751" s="44" t="s">
        <v>1500</v>
      </c>
      <c r="D751" s="263">
        <v>0</v>
      </c>
      <c r="E751" s="263">
        <v>0</v>
      </c>
      <c r="F751" s="190" t="str">
        <f t="shared" si="14"/>
        <v>-</v>
      </c>
    </row>
    <row r="752" spans="1:6" customFormat="1" ht="12.75" customHeight="1" x14ac:dyDescent="0.2">
      <c r="A752" s="189" t="s">
        <v>1502</v>
      </c>
      <c r="B752" s="150" t="s">
        <v>1503</v>
      </c>
      <c r="C752" s="44" t="s">
        <v>1502</v>
      </c>
      <c r="D752" s="263">
        <v>0</v>
      </c>
      <c r="E752" s="263">
        <v>0</v>
      </c>
      <c r="F752" s="190" t="str">
        <f t="shared" si="14"/>
        <v>-</v>
      </c>
    </row>
    <row r="753" spans="1:6" customFormat="1" ht="12.75" customHeight="1" x14ac:dyDescent="0.2">
      <c r="A753" s="189" t="s">
        <v>1504</v>
      </c>
      <c r="B753" s="150" t="s">
        <v>1505</v>
      </c>
      <c r="C753" s="44" t="s">
        <v>1504</v>
      </c>
      <c r="D753" s="263">
        <v>0</v>
      </c>
      <c r="E753" s="263">
        <v>0</v>
      </c>
      <c r="F753" s="190" t="str">
        <f t="shared" si="14"/>
        <v>-</v>
      </c>
    </row>
    <row r="754" spans="1:6" customFormat="1" ht="12.75" customHeight="1" x14ac:dyDescent="0.2">
      <c r="A754" s="189" t="s">
        <v>1506</v>
      </c>
      <c r="B754" s="150" t="s">
        <v>1507</v>
      </c>
      <c r="C754" s="44" t="s">
        <v>1506</v>
      </c>
      <c r="D754" s="263">
        <v>0</v>
      </c>
      <c r="E754" s="263">
        <v>0</v>
      </c>
      <c r="F754" s="190" t="str">
        <f t="shared" si="14"/>
        <v>-</v>
      </c>
    </row>
    <row r="755" spans="1:6" customFormat="1" ht="12.75" customHeight="1" x14ac:dyDescent="0.2">
      <c r="A755" s="189" t="s">
        <v>1508</v>
      </c>
      <c r="B755" s="150" t="s">
        <v>1509</v>
      </c>
      <c r="C755" s="44" t="s">
        <v>1508</v>
      </c>
      <c r="D755" s="263">
        <v>0</v>
      </c>
      <c r="E755" s="263">
        <v>0</v>
      </c>
      <c r="F755" s="190" t="str">
        <f t="shared" si="14"/>
        <v>-</v>
      </c>
    </row>
    <row r="756" spans="1:6" customFormat="1" ht="24" customHeight="1" x14ac:dyDescent="0.2">
      <c r="A756" s="189" t="s">
        <v>1510</v>
      </c>
      <c r="B756" s="195" t="s">
        <v>1511</v>
      </c>
      <c r="C756" s="44" t="s">
        <v>1510</v>
      </c>
      <c r="D756" s="263">
        <v>0</v>
      </c>
      <c r="E756" s="263">
        <v>0</v>
      </c>
      <c r="F756" s="190" t="str">
        <f t="shared" si="14"/>
        <v>-</v>
      </c>
    </row>
    <row r="757" spans="1:6" customFormat="1" ht="24" customHeight="1" x14ac:dyDescent="0.2">
      <c r="A757" s="189" t="s">
        <v>1512</v>
      </c>
      <c r="B757" s="150" t="s">
        <v>1513</v>
      </c>
      <c r="C757" s="44" t="s">
        <v>1512</v>
      </c>
      <c r="D757" s="263">
        <v>0</v>
      </c>
      <c r="E757" s="263">
        <v>0</v>
      </c>
      <c r="F757" s="190" t="str">
        <f t="shared" si="14"/>
        <v>-</v>
      </c>
    </row>
    <row r="758" spans="1:6" customFormat="1" ht="12.75" customHeight="1" x14ac:dyDescent="0.2">
      <c r="A758" s="189" t="s">
        <v>1514</v>
      </c>
      <c r="B758" s="150" t="s">
        <v>1515</v>
      </c>
      <c r="C758" s="44" t="s">
        <v>1514</v>
      </c>
      <c r="D758" s="263">
        <v>0</v>
      </c>
      <c r="E758" s="263">
        <v>0</v>
      </c>
      <c r="F758" s="190" t="str">
        <f t="shared" si="14"/>
        <v>-</v>
      </c>
    </row>
    <row r="759" spans="1:6" customFormat="1" ht="12.75" customHeight="1" x14ac:dyDescent="0.2">
      <c r="A759" s="189" t="s">
        <v>1516</v>
      </c>
      <c r="B759" s="150" t="s">
        <v>1517</v>
      </c>
      <c r="C759" s="44" t="s">
        <v>1516</v>
      </c>
      <c r="D759" s="263">
        <v>0</v>
      </c>
      <c r="E759" s="263">
        <v>0</v>
      </c>
      <c r="F759" s="190" t="str">
        <f t="shared" si="14"/>
        <v>-</v>
      </c>
    </row>
    <row r="760" spans="1:6" customFormat="1" ht="12.75" customHeight="1" x14ac:dyDescent="0.2">
      <c r="A760" s="189" t="s">
        <v>1518</v>
      </c>
      <c r="B760" s="150" t="s">
        <v>1519</v>
      </c>
      <c r="C760" s="44" t="s">
        <v>1518</v>
      </c>
      <c r="D760" s="263">
        <v>0</v>
      </c>
      <c r="E760" s="263">
        <v>0</v>
      </c>
      <c r="F760" s="190" t="str">
        <f t="shared" si="14"/>
        <v>-</v>
      </c>
    </row>
    <row r="761" spans="1:6" customFormat="1" ht="12.75" customHeight="1" x14ac:dyDescent="0.2">
      <c r="A761" s="189" t="s">
        <v>1520</v>
      </c>
      <c r="B761" s="150" t="s">
        <v>1521</v>
      </c>
      <c r="C761" s="44" t="s">
        <v>1520</v>
      </c>
      <c r="D761" s="263">
        <v>0</v>
      </c>
      <c r="E761" s="263">
        <v>0</v>
      </c>
      <c r="F761" s="190" t="str">
        <f t="shared" si="14"/>
        <v>-</v>
      </c>
    </row>
    <row r="762" spans="1:6" customFormat="1" ht="12.75" customHeight="1" x14ac:dyDescent="0.2">
      <c r="A762" s="189" t="s">
        <v>1522</v>
      </c>
      <c r="B762" s="150" t="s">
        <v>1523</v>
      </c>
      <c r="C762" s="44" t="s">
        <v>1522</v>
      </c>
      <c r="D762" s="263">
        <v>0</v>
      </c>
      <c r="E762" s="263">
        <v>0</v>
      </c>
      <c r="F762" s="190" t="str">
        <f t="shared" si="14"/>
        <v>-</v>
      </c>
    </row>
    <row r="763" spans="1:6" customFormat="1" ht="12.75" customHeight="1" x14ac:dyDescent="0.2">
      <c r="A763" s="189" t="s">
        <v>1524</v>
      </c>
      <c r="B763" s="150" t="s">
        <v>1525</v>
      </c>
      <c r="C763" s="44" t="s">
        <v>1524</v>
      </c>
      <c r="D763" s="263">
        <v>29698.91</v>
      </c>
      <c r="E763" s="263">
        <v>44622.05</v>
      </c>
      <c r="F763" s="190">
        <f t="shared" si="14"/>
        <v>150.24810674869886</v>
      </c>
    </row>
    <row r="764" spans="1:6" customFormat="1" ht="12.75" customHeight="1" x14ac:dyDescent="0.2">
      <c r="A764" s="189" t="s">
        <v>1526</v>
      </c>
      <c r="B764" s="150" t="s">
        <v>1527</v>
      </c>
      <c r="C764" s="44" t="s">
        <v>1526</v>
      </c>
      <c r="D764" s="263">
        <v>0</v>
      </c>
      <c r="E764" s="263">
        <v>0</v>
      </c>
      <c r="F764" s="190" t="str">
        <f t="shared" si="14"/>
        <v>-</v>
      </c>
    </row>
    <row r="765" spans="1:6" customFormat="1" ht="12.75" customHeight="1" x14ac:dyDescent="0.2">
      <c r="A765" s="189" t="s">
        <v>1528</v>
      </c>
      <c r="B765" s="150" t="s">
        <v>1529</v>
      </c>
      <c r="C765" s="44" t="s">
        <v>1528</v>
      </c>
      <c r="D765" s="263">
        <v>0</v>
      </c>
      <c r="E765" s="263">
        <v>0</v>
      </c>
      <c r="F765" s="190" t="str">
        <f t="shared" si="14"/>
        <v>-</v>
      </c>
    </row>
    <row r="766" spans="1:6" customFormat="1" ht="12.75" customHeight="1" x14ac:dyDescent="0.2">
      <c r="A766" s="189" t="s">
        <v>1530</v>
      </c>
      <c r="B766" s="150" t="s">
        <v>1531</v>
      </c>
      <c r="C766" s="44" t="s">
        <v>1530</v>
      </c>
      <c r="D766" s="263">
        <v>0</v>
      </c>
      <c r="E766" s="263">
        <v>0</v>
      </c>
      <c r="F766" s="190" t="str">
        <f t="shared" si="14"/>
        <v>-</v>
      </c>
    </row>
    <row r="767" spans="1:6" customFormat="1" ht="24" customHeight="1" x14ac:dyDescent="0.2">
      <c r="A767" s="189" t="s">
        <v>1532</v>
      </c>
      <c r="B767" s="195" t="s">
        <v>1533</v>
      </c>
      <c r="C767" s="44" t="s">
        <v>1532</v>
      </c>
      <c r="D767" s="263">
        <v>0</v>
      </c>
      <c r="E767" s="263">
        <v>0</v>
      </c>
      <c r="F767" s="190" t="str">
        <f t="shared" si="14"/>
        <v>-</v>
      </c>
    </row>
    <row r="768" spans="1:6" customFormat="1" ht="12.75" customHeight="1" x14ac:dyDescent="0.2">
      <c r="A768" s="189" t="s">
        <v>1534</v>
      </c>
      <c r="B768" s="150" t="s">
        <v>1535</v>
      </c>
      <c r="C768" s="44" t="s">
        <v>1534</v>
      </c>
      <c r="D768" s="263">
        <v>0</v>
      </c>
      <c r="E768" s="263">
        <v>0</v>
      </c>
      <c r="F768" s="190" t="str">
        <f t="shared" si="14"/>
        <v>-</v>
      </c>
    </row>
    <row r="769" spans="1:6" customFormat="1" ht="12.75" customHeight="1" x14ac:dyDescent="0.2">
      <c r="A769" s="189" t="s">
        <v>1536</v>
      </c>
      <c r="B769" s="150" t="s">
        <v>1537</v>
      </c>
      <c r="C769" s="44" t="s">
        <v>1536</v>
      </c>
      <c r="D769" s="263">
        <v>0</v>
      </c>
      <c r="E769" s="263">
        <v>0</v>
      </c>
      <c r="F769" s="190" t="str">
        <f t="shared" si="14"/>
        <v>-</v>
      </c>
    </row>
    <row r="770" spans="1:6" customFormat="1" ht="12.75" customHeight="1" x14ac:dyDescent="0.2">
      <c r="A770" s="189" t="s">
        <v>1538</v>
      </c>
      <c r="B770" s="150" t="s">
        <v>1539</v>
      </c>
      <c r="C770" s="44" t="s">
        <v>1538</v>
      </c>
      <c r="D770" s="263">
        <v>0</v>
      </c>
      <c r="E770" s="263">
        <v>0</v>
      </c>
      <c r="F770" s="190" t="str">
        <f t="shared" si="14"/>
        <v>-</v>
      </c>
    </row>
    <row r="771" spans="1:6" customFormat="1" ht="12.75" customHeight="1" x14ac:dyDescent="0.2">
      <c r="A771" s="189" t="s">
        <v>1540</v>
      </c>
      <c r="B771" s="150" t="s">
        <v>1541</v>
      </c>
      <c r="C771" s="44" t="s">
        <v>1540</v>
      </c>
      <c r="D771" s="263">
        <v>0</v>
      </c>
      <c r="E771" s="263">
        <v>0</v>
      </c>
      <c r="F771" s="190" t="str">
        <f t="shared" si="14"/>
        <v>-</v>
      </c>
    </row>
    <row r="772" spans="1:6" customFormat="1" ht="12.75" customHeight="1" x14ac:dyDescent="0.2">
      <c r="A772" s="189" t="s">
        <v>1542</v>
      </c>
      <c r="B772" s="150" t="s">
        <v>1543</v>
      </c>
      <c r="C772" s="44" t="s">
        <v>1542</v>
      </c>
      <c r="D772" s="263">
        <v>0</v>
      </c>
      <c r="E772" s="263">
        <v>0</v>
      </c>
      <c r="F772" s="190" t="str">
        <f t="shared" si="14"/>
        <v>-</v>
      </c>
    </row>
    <row r="773" spans="1:6" customFormat="1" ht="24" customHeight="1" x14ac:dyDescent="0.2">
      <c r="A773" s="189" t="s">
        <v>1544</v>
      </c>
      <c r="B773" s="150" t="s">
        <v>1545</v>
      </c>
      <c r="C773" s="44" t="s">
        <v>1544</v>
      </c>
      <c r="D773" s="263">
        <v>0</v>
      </c>
      <c r="E773" s="263">
        <v>0</v>
      </c>
      <c r="F773" s="190" t="str">
        <f t="shared" si="14"/>
        <v>-</v>
      </c>
    </row>
    <row r="774" spans="1:6" customFormat="1" ht="24" customHeight="1" x14ac:dyDescent="0.2">
      <c r="A774" s="189" t="s">
        <v>1546</v>
      </c>
      <c r="B774" s="195" t="s">
        <v>1547</v>
      </c>
      <c r="C774" s="44" t="s">
        <v>1546</v>
      </c>
      <c r="D774" s="263">
        <v>0</v>
      </c>
      <c r="E774" s="263">
        <v>0</v>
      </c>
      <c r="F774" s="190" t="str">
        <f t="shared" si="14"/>
        <v>-</v>
      </c>
    </row>
    <row r="775" spans="1:6" customFormat="1" ht="12.75" customHeight="1" x14ac:dyDescent="0.2">
      <c r="A775" s="189" t="s">
        <v>1548</v>
      </c>
      <c r="B775" s="195" t="s">
        <v>1549</v>
      </c>
      <c r="C775" s="44" t="s">
        <v>1548</v>
      </c>
      <c r="D775" s="263">
        <v>0</v>
      </c>
      <c r="E775" s="263">
        <v>0</v>
      </c>
      <c r="F775" s="190" t="str">
        <f t="shared" si="14"/>
        <v>-</v>
      </c>
    </row>
    <row r="776" spans="1:6" customFormat="1" ht="12.75" customHeight="1" x14ac:dyDescent="0.2">
      <c r="A776" s="189" t="s">
        <v>1550</v>
      </c>
      <c r="B776" s="195" t="s">
        <v>1551</v>
      </c>
      <c r="C776" s="44" t="s">
        <v>1550</v>
      </c>
      <c r="D776" s="263">
        <v>0</v>
      </c>
      <c r="E776" s="263">
        <v>0</v>
      </c>
      <c r="F776" s="190" t="str">
        <f t="shared" si="14"/>
        <v>-</v>
      </c>
    </row>
    <row r="777" spans="1:6" customFormat="1" ht="12.75" customHeight="1" x14ac:dyDescent="0.2">
      <c r="A777" s="189" t="s">
        <v>1552</v>
      </c>
      <c r="B777" s="195" t="s">
        <v>1553</v>
      </c>
      <c r="C777" s="44" t="s">
        <v>1552</v>
      </c>
      <c r="D777" s="263">
        <v>0</v>
      </c>
      <c r="E777" s="263">
        <v>0</v>
      </c>
      <c r="F777" s="190" t="str">
        <f t="shared" ref="F777:F840" si="15">IF(D777&lt;&gt;0,IF(E777/D777&gt;=100,"&gt;&gt;100",E777/D777*100),"-")</f>
        <v>-</v>
      </c>
    </row>
    <row r="778" spans="1:6" customFormat="1" ht="12.75" customHeight="1" x14ac:dyDescent="0.2">
      <c r="A778" s="189" t="s">
        <v>1554</v>
      </c>
      <c r="B778" s="195" t="s">
        <v>1555</v>
      </c>
      <c r="C778" s="44" t="s">
        <v>1554</v>
      </c>
      <c r="D778" s="263">
        <v>0</v>
      </c>
      <c r="E778" s="263">
        <v>0</v>
      </c>
      <c r="F778" s="190" t="str">
        <f t="shared" si="15"/>
        <v>-</v>
      </c>
    </row>
    <row r="779" spans="1:6" customFormat="1" ht="24" customHeight="1" x14ac:dyDescent="0.2">
      <c r="A779" s="189" t="s">
        <v>1556</v>
      </c>
      <c r="B779" s="195" t="s">
        <v>1557</v>
      </c>
      <c r="C779" s="44" t="s">
        <v>1556</v>
      </c>
      <c r="D779" s="263">
        <v>0</v>
      </c>
      <c r="E779" s="263">
        <v>0</v>
      </c>
      <c r="F779" s="190" t="str">
        <f t="shared" si="15"/>
        <v>-</v>
      </c>
    </row>
    <row r="780" spans="1:6" customFormat="1" ht="24" customHeight="1" x14ac:dyDescent="0.2">
      <c r="A780" s="189" t="s">
        <v>1558</v>
      </c>
      <c r="B780" s="195" t="s">
        <v>1559</v>
      </c>
      <c r="C780" s="44" t="s">
        <v>1558</v>
      </c>
      <c r="D780" s="263">
        <v>0</v>
      </c>
      <c r="E780" s="263">
        <v>0</v>
      </c>
      <c r="F780" s="190" t="str">
        <f t="shared" si="15"/>
        <v>-</v>
      </c>
    </row>
    <row r="781" spans="1:6" customFormat="1" ht="12.75" customHeight="1" x14ac:dyDescent="0.2">
      <c r="A781" s="189" t="s">
        <v>1560</v>
      </c>
      <c r="B781" s="195" t="s">
        <v>1561</v>
      </c>
      <c r="C781" s="44" t="s">
        <v>1560</v>
      </c>
      <c r="D781" s="263">
        <v>0</v>
      </c>
      <c r="E781" s="263">
        <v>0</v>
      </c>
      <c r="F781" s="190" t="str">
        <f t="shared" si="15"/>
        <v>-</v>
      </c>
    </row>
    <row r="782" spans="1:6" customFormat="1" ht="24" customHeight="1" x14ac:dyDescent="0.2">
      <c r="A782" s="189" t="s">
        <v>1562</v>
      </c>
      <c r="B782" s="195" t="s">
        <v>1563</v>
      </c>
      <c r="C782" s="44" t="s">
        <v>1562</v>
      </c>
      <c r="D782" s="263">
        <v>0</v>
      </c>
      <c r="E782" s="263">
        <v>0</v>
      </c>
      <c r="F782" s="190" t="str">
        <f t="shared" si="15"/>
        <v>-</v>
      </c>
    </row>
    <row r="783" spans="1:6" customFormat="1" ht="12.75" customHeight="1" x14ac:dyDescent="0.2">
      <c r="A783" s="189" t="s">
        <v>1564</v>
      </c>
      <c r="B783" s="195" t="s">
        <v>1565</v>
      </c>
      <c r="C783" s="44" t="s">
        <v>1564</v>
      </c>
      <c r="D783" s="263">
        <v>0</v>
      </c>
      <c r="E783" s="263">
        <v>0</v>
      </c>
      <c r="F783" s="190" t="str">
        <f t="shared" si="15"/>
        <v>-</v>
      </c>
    </row>
    <row r="784" spans="1:6" customFormat="1" ht="12.75" customHeight="1" x14ac:dyDescent="0.2">
      <c r="A784" s="189" t="s">
        <v>1566</v>
      </c>
      <c r="B784" s="195" t="s">
        <v>1567</v>
      </c>
      <c r="C784" s="44" t="s">
        <v>1566</v>
      </c>
      <c r="D784" s="263">
        <v>0</v>
      </c>
      <c r="E784" s="263">
        <v>0</v>
      </c>
      <c r="F784" s="190" t="str">
        <f t="shared" si="15"/>
        <v>-</v>
      </c>
    </row>
    <row r="785" spans="1:6" customFormat="1" ht="24" customHeight="1" x14ac:dyDescent="0.2">
      <c r="A785" s="189" t="s">
        <v>1568</v>
      </c>
      <c r="B785" s="195" t="s">
        <v>1569</v>
      </c>
      <c r="C785" s="44" t="s">
        <v>1568</v>
      </c>
      <c r="D785" s="263">
        <v>0</v>
      </c>
      <c r="E785" s="263">
        <v>0</v>
      </c>
      <c r="F785" s="190" t="str">
        <f t="shared" si="15"/>
        <v>-</v>
      </c>
    </row>
    <row r="786" spans="1:6" customFormat="1" ht="24" customHeight="1" x14ac:dyDescent="0.2">
      <c r="A786" s="189" t="s">
        <v>1570</v>
      </c>
      <c r="B786" s="195" t="s">
        <v>1571</v>
      </c>
      <c r="C786" s="44" t="s">
        <v>1570</v>
      </c>
      <c r="D786" s="263">
        <v>0</v>
      </c>
      <c r="E786" s="263">
        <v>0</v>
      </c>
      <c r="F786" s="190" t="str">
        <f t="shared" si="15"/>
        <v>-</v>
      </c>
    </row>
    <row r="787" spans="1:6" customFormat="1" ht="24" customHeight="1" x14ac:dyDescent="0.2">
      <c r="A787" s="189" t="s">
        <v>1572</v>
      </c>
      <c r="B787" s="195" t="s">
        <v>1573</v>
      </c>
      <c r="C787" s="44" t="s">
        <v>1572</v>
      </c>
      <c r="D787" s="263">
        <v>0</v>
      </c>
      <c r="E787" s="263">
        <v>0</v>
      </c>
      <c r="F787" s="190" t="str">
        <f t="shared" si="15"/>
        <v>-</v>
      </c>
    </row>
    <row r="788" spans="1:6" customFormat="1" ht="24" customHeight="1" x14ac:dyDescent="0.2">
      <c r="A788" s="189" t="s">
        <v>1574</v>
      </c>
      <c r="B788" s="195" t="s">
        <v>1575</v>
      </c>
      <c r="C788" s="44" t="s">
        <v>1574</v>
      </c>
      <c r="D788" s="263">
        <v>0</v>
      </c>
      <c r="E788" s="263">
        <v>0</v>
      </c>
      <c r="F788" s="190" t="str">
        <f t="shared" si="15"/>
        <v>-</v>
      </c>
    </row>
    <row r="789" spans="1:6" customFormat="1" ht="24" customHeight="1" x14ac:dyDescent="0.2">
      <c r="A789" s="189" t="s">
        <v>1576</v>
      </c>
      <c r="B789" s="195" t="s">
        <v>1577</v>
      </c>
      <c r="C789" s="44" t="s">
        <v>1576</v>
      </c>
      <c r="D789" s="263">
        <v>0</v>
      </c>
      <c r="E789" s="263">
        <v>0</v>
      </c>
      <c r="F789" s="190" t="str">
        <f t="shared" si="15"/>
        <v>-</v>
      </c>
    </row>
    <row r="790" spans="1:6" customFormat="1" ht="24" customHeight="1" x14ac:dyDescent="0.2">
      <c r="A790" s="189" t="s">
        <v>1578</v>
      </c>
      <c r="B790" s="150" t="s">
        <v>1579</v>
      </c>
      <c r="C790" s="44" t="s">
        <v>1578</v>
      </c>
      <c r="D790" s="263">
        <v>0</v>
      </c>
      <c r="E790" s="263">
        <v>0</v>
      </c>
      <c r="F790" s="190" t="str">
        <f t="shared" si="15"/>
        <v>-</v>
      </c>
    </row>
    <row r="791" spans="1:6" customFormat="1" ht="24" customHeight="1" x14ac:dyDescent="0.2">
      <c r="A791" s="189" t="s">
        <v>1580</v>
      </c>
      <c r="B791" s="150" t="s">
        <v>1581</v>
      </c>
      <c r="C791" s="44" t="s">
        <v>1580</v>
      </c>
      <c r="D791" s="263">
        <v>0</v>
      </c>
      <c r="E791" s="263">
        <v>0</v>
      </c>
      <c r="F791" s="190" t="str">
        <f t="shared" si="15"/>
        <v>-</v>
      </c>
    </row>
    <row r="792" spans="1:6" customFormat="1" ht="24" customHeight="1" x14ac:dyDescent="0.2">
      <c r="A792" s="189" t="s">
        <v>1582</v>
      </c>
      <c r="B792" s="150" t="s">
        <v>1583</v>
      </c>
      <c r="C792" s="44" t="s">
        <v>1582</v>
      </c>
      <c r="D792" s="263">
        <v>0</v>
      </c>
      <c r="E792" s="263">
        <v>0</v>
      </c>
      <c r="F792" s="190" t="str">
        <f t="shared" si="15"/>
        <v>-</v>
      </c>
    </row>
    <row r="793" spans="1:6" customFormat="1" ht="24" customHeight="1" x14ac:dyDescent="0.2">
      <c r="A793" s="189" t="s">
        <v>1584</v>
      </c>
      <c r="B793" s="150" t="s">
        <v>1585</v>
      </c>
      <c r="C793" s="44" t="s">
        <v>1584</v>
      </c>
      <c r="D793" s="263">
        <v>0</v>
      </c>
      <c r="E793" s="263">
        <v>0</v>
      </c>
      <c r="F793" s="190" t="str">
        <f t="shared" si="15"/>
        <v>-</v>
      </c>
    </row>
    <row r="794" spans="1:6" customFormat="1" ht="12.75" customHeight="1" x14ac:dyDescent="0.2">
      <c r="A794" s="189" t="s">
        <v>1586</v>
      </c>
      <c r="B794" s="150" t="s">
        <v>1587</v>
      </c>
      <c r="C794" s="44" t="s">
        <v>1586</v>
      </c>
      <c r="D794" s="263">
        <v>0</v>
      </c>
      <c r="E794" s="263">
        <v>0</v>
      </c>
      <c r="F794" s="190" t="str">
        <f t="shared" si="15"/>
        <v>-</v>
      </c>
    </row>
    <row r="795" spans="1:6" customFormat="1" ht="12.75" customHeight="1" x14ac:dyDescent="0.2">
      <c r="A795" s="189" t="s">
        <v>1588</v>
      </c>
      <c r="B795" s="150" t="s">
        <v>1589</v>
      </c>
      <c r="C795" s="44" t="s">
        <v>1588</v>
      </c>
      <c r="D795" s="263">
        <v>0</v>
      </c>
      <c r="E795" s="263">
        <v>0</v>
      </c>
      <c r="F795" s="190" t="str">
        <f t="shared" si="15"/>
        <v>-</v>
      </c>
    </row>
    <row r="796" spans="1:6" customFormat="1" ht="12.75" customHeight="1" x14ac:dyDescent="0.2">
      <c r="A796" s="189" t="s">
        <v>1590</v>
      </c>
      <c r="B796" s="150" t="s">
        <v>1591</v>
      </c>
      <c r="C796" s="44" t="s">
        <v>1590</v>
      </c>
      <c r="D796" s="263">
        <v>0</v>
      </c>
      <c r="E796" s="263">
        <v>0</v>
      </c>
      <c r="F796" s="190" t="str">
        <f t="shared" si="15"/>
        <v>-</v>
      </c>
    </row>
    <row r="797" spans="1:6" customFormat="1" ht="24" customHeight="1" x14ac:dyDescent="0.2">
      <c r="A797" s="189" t="s">
        <v>1592</v>
      </c>
      <c r="B797" s="150" t="s">
        <v>1593</v>
      </c>
      <c r="C797" s="44" t="s">
        <v>1592</v>
      </c>
      <c r="D797" s="263">
        <v>0</v>
      </c>
      <c r="E797" s="263">
        <v>0</v>
      </c>
      <c r="F797" s="190" t="str">
        <f t="shared" si="15"/>
        <v>-</v>
      </c>
    </row>
    <row r="798" spans="1:6" customFormat="1" ht="24" customHeight="1" x14ac:dyDescent="0.2">
      <c r="A798" s="189" t="s">
        <v>1594</v>
      </c>
      <c r="B798" s="150" t="s">
        <v>1595</v>
      </c>
      <c r="C798" s="44" t="s">
        <v>1594</v>
      </c>
      <c r="D798" s="263">
        <v>0</v>
      </c>
      <c r="E798" s="263">
        <v>0</v>
      </c>
      <c r="F798" s="190" t="str">
        <f t="shared" si="15"/>
        <v>-</v>
      </c>
    </row>
    <row r="799" spans="1:6" customFormat="1" ht="24" customHeight="1" x14ac:dyDescent="0.2">
      <c r="A799" s="189" t="s">
        <v>1596</v>
      </c>
      <c r="B799" s="150" t="s">
        <v>1597</v>
      </c>
      <c r="C799" s="44" t="s">
        <v>1596</v>
      </c>
      <c r="D799" s="263">
        <v>0</v>
      </c>
      <c r="E799" s="263">
        <v>0</v>
      </c>
      <c r="F799" s="190" t="str">
        <f t="shared" si="15"/>
        <v>-</v>
      </c>
    </row>
    <row r="800" spans="1:6" customFormat="1" ht="24" customHeight="1" x14ac:dyDescent="0.2">
      <c r="A800" s="189" t="s">
        <v>1598</v>
      </c>
      <c r="B800" s="150" t="s">
        <v>1599</v>
      </c>
      <c r="C800" s="44" t="s">
        <v>1598</v>
      </c>
      <c r="D800" s="263">
        <v>0</v>
      </c>
      <c r="E800" s="263">
        <v>0</v>
      </c>
      <c r="F800" s="190" t="str">
        <f t="shared" si="15"/>
        <v>-</v>
      </c>
    </row>
    <row r="801" spans="1:6" customFormat="1" ht="24" customHeight="1" x14ac:dyDescent="0.2">
      <c r="A801" s="189" t="s">
        <v>1600</v>
      </c>
      <c r="B801" s="150" t="s">
        <v>1601</v>
      </c>
      <c r="C801" s="44" t="s">
        <v>1600</v>
      </c>
      <c r="D801" s="263">
        <v>0</v>
      </c>
      <c r="E801" s="263">
        <v>0</v>
      </c>
      <c r="F801" s="190" t="str">
        <f t="shared" si="15"/>
        <v>-</v>
      </c>
    </row>
    <row r="802" spans="1:6" customFormat="1" ht="24" customHeight="1" x14ac:dyDescent="0.2">
      <c r="A802" s="189" t="s">
        <v>1602</v>
      </c>
      <c r="B802" s="150" t="s">
        <v>1603</v>
      </c>
      <c r="C802" s="44" t="s">
        <v>1602</v>
      </c>
      <c r="D802" s="263">
        <v>0</v>
      </c>
      <c r="E802" s="263">
        <v>0</v>
      </c>
      <c r="F802" s="190" t="str">
        <f t="shared" si="15"/>
        <v>-</v>
      </c>
    </row>
    <row r="803" spans="1:6" customFormat="1" ht="24" customHeight="1" x14ac:dyDescent="0.2">
      <c r="A803" s="189" t="s">
        <v>1604</v>
      </c>
      <c r="B803" s="150" t="s">
        <v>1605</v>
      </c>
      <c r="C803" s="44" t="s">
        <v>1604</v>
      </c>
      <c r="D803" s="263">
        <v>0</v>
      </c>
      <c r="E803" s="263">
        <v>0</v>
      </c>
      <c r="F803" s="190" t="str">
        <f t="shared" si="15"/>
        <v>-</v>
      </c>
    </row>
    <row r="804" spans="1:6" customFormat="1" ht="12.75" customHeight="1" x14ac:dyDescent="0.2">
      <c r="A804" s="189" t="s">
        <v>1606</v>
      </c>
      <c r="B804" s="150" t="s">
        <v>1607</v>
      </c>
      <c r="C804" s="44" t="s">
        <v>1606</v>
      </c>
      <c r="D804" s="263">
        <v>0</v>
      </c>
      <c r="E804" s="263">
        <v>0</v>
      </c>
      <c r="F804" s="190" t="str">
        <f t="shared" si="15"/>
        <v>-</v>
      </c>
    </row>
    <row r="805" spans="1:6" customFormat="1" ht="12.75" customHeight="1" x14ac:dyDescent="0.2">
      <c r="A805" s="189" t="s">
        <v>1608</v>
      </c>
      <c r="B805" s="150" t="s">
        <v>1609</v>
      </c>
      <c r="C805" s="44" t="s">
        <v>1608</v>
      </c>
      <c r="D805" s="263">
        <v>0</v>
      </c>
      <c r="E805" s="263">
        <v>0</v>
      </c>
      <c r="F805" s="190" t="str">
        <f t="shared" si="15"/>
        <v>-</v>
      </c>
    </row>
    <row r="806" spans="1:6" customFormat="1" ht="24" customHeight="1" x14ac:dyDescent="0.2">
      <c r="A806" s="189" t="s">
        <v>1610</v>
      </c>
      <c r="B806" s="150" t="s">
        <v>1611</v>
      </c>
      <c r="C806" s="44" t="s">
        <v>1610</v>
      </c>
      <c r="D806" s="263">
        <v>0</v>
      </c>
      <c r="E806" s="263">
        <v>0</v>
      </c>
      <c r="F806" s="190" t="str">
        <f t="shared" si="15"/>
        <v>-</v>
      </c>
    </row>
    <row r="807" spans="1:6" customFormat="1" ht="24" customHeight="1" x14ac:dyDescent="0.2">
      <c r="A807" s="189" t="s">
        <v>1612</v>
      </c>
      <c r="B807" s="150" t="s">
        <v>1613</v>
      </c>
      <c r="C807" s="44" t="s">
        <v>1612</v>
      </c>
      <c r="D807" s="263">
        <v>0</v>
      </c>
      <c r="E807" s="263">
        <v>0</v>
      </c>
      <c r="F807" s="190" t="str">
        <f t="shared" si="15"/>
        <v>-</v>
      </c>
    </row>
    <row r="808" spans="1:6" customFormat="1" ht="12.75" customHeight="1" x14ac:dyDescent="0.2">
      <c r="A808" s="189" t="s">
        <v>1614</v>
      </c>
      <c r="B808" s="150" t="s">
        <v>1615</v>
      </c>
      <c r="C808" s="44" t="s">
        <v>1614</v>
      </c>
      <c r="D808" s="263">
        <v>0</v>
      </c>
      <c r="E808" s="263">
        <v>0</v>
      </c>
      <c r="F808" s="190" t="str">
        <f t="shared" si="15"/>
        <v>-</v>
      </c>
    </row>
    <row r="809" spans="1:6" customFormat="1" ht="12.75" customHeight="1" x14ac:dyDescent="0.2">
      <c r="A809" s="189" t="s">
        <v>1616</v>
      </c>
      <c r="B809" s="150" t="s">
        <v>1617</v>
      </c>
      <c r="C809" s="44" t="s">
        <v>1616</v>
      </c>
      <c r="D809" s="263">
        <v>0</v>
      </c>
      <c r="E809" s="263">
        <v>0</v>
      </c>
      <c r="F809" s="190" t="str">
        <f t="shared" si="15"/>
        <v>-</v>
      </c>
    </row>
    <row r="810" spans="1:6" customFormat="1" ht="12.75" customHeight="1" x14ac:dyDescent="0.2">
      <c r="A810" s="189" t="s">
        <v>1618</v>
      </c>
      <c r="B810" s="150" t="s">
        <v>1619</v>
      </c>
      <c r="C810" s="44" t="s">
        <v>1618</v>
      </c>
      <c r="D810" s="263">
        <v>0</v>
      </c>
      <c r="E810" s="263">
        <v>0</v>
      </c>
      <c r="F810" s="190" t="str">
        <f t="shared" si="15"/>
        <v>-</v>
      </c>
    </row>
    <row r="811" spans="1:6" customFormat="1" ht="12.75" customHeight="1" x14ac:dyDescent="0.2">
      <c r="A811" s="189" t="s">
        <v>1620</v>
      </c>
      <c r="B811" s="150" t="s">
        <v>1621</v>
      </c>
      <c r="C811" s="44" t="s">
        <v>1620</v>
      </c>
      <c r="D811" s="263">
        <v>0</v>
      </c>
      <c r="E811" s="263">
        <v>0</v>
      </c>
      <c r="F811" s="190" t="str">
        <f t="shared" si="15"/>
        <v>-</v>
      </c>
    </row>
    <row r="812" spans="1:6" customFormat="1" ht="12.75" customHeight="1" x14ac:dyDescent="0.2">
      <c r="A812" s="189" t="s">
        <v>1622</v>
      </c>
      <c r="B812" s="150" t="s">
        <v>1623</v>
      </c>
      <c r="C812" s="44" t="s">
        <v>1622</v>
      </c>
      <c r="D812" s="263">
        <v>0</v>
      </c>
      <c r="E812" s="263">
        <v>0</v>
      </c>
      <c r="F812" s="190" t="str">
        <f t="shared" si="15"/>
        <v>-</v>
      </c>
    </row>
    <row r="813" spans="1:6" customFormat="1" ht="12.75" customHeight="1" x14ac:dyDescent="0.2">
      <c r="A813" s="189" t="s">
        <v>1624</v>
      </c>
      <c r="B813" s="150" t="s">
        <v>1625</v>
      </c>
      <c r="C813" s="44" t="s">
        <v>1624</v>
      </c>
      <c r="D813" s="263">
        <v>0</v>
      </c>
      <c r="E813" s="263">
        <v>0</v>
      </c>
      <c r="F813" s="190" t="str">
        <f t="shared" si="15"/>
        <v>-</v>
      </c>
    </row>
    <row r="814" spans="1:6" customFormat="1" ht="12.75" customHeight="1" x14ac:dyDescent="0.2">
      <c r="A814" s="189" t="s">
        <v>1626</v>
      </c>
      <c r="B814" s="150" t="s">
        <v>1627</v>
      </c>
      <c r="C814" s="44" t="s">
        <v>1626</v>
      </c>
      <c r="D814" s="263">
        <v>0</v>
      </c>
      <c r="E814" s="263">
        <v>0</v>
      </c>
      <c r="F814" s="190" t="str">
        <f t="shared" si="15"/>
        <v>-</v>
      </c>
    </row>
    <row r="815" spans="1:6" customFormat="1" ht="12.75" customHeight="1" x14ac:dyDescent="0.2">
      <c r="A815" s="189" t="s">
        <v>1628</v>
      </c>
      <c r="B815" s="150" t="s">
        <v>1629</v>
      </c>
      <c r="C815" s="44" t="s">
        <v>1628</v>
      </c>
      <c r="D815" s="263">
        <v>0</v>
      </c>
      <c r="E815" s="263">
        <v>0</v>
      </c>
      <c r="F815" s="190" t="str">
        <f t="shared" si="15"/>
        <v>-</v>
      </c>
    </row>
    <row r="816" spans="1:6" customFormat="1" ht="12.75" customHeight="1" x14ac:dyDescent="0.2">
      <c r="A816" s="189" t="s">
        <v>1630</v>
      </c>
      <c r="B816" s="150" t="s">
        <v>1631</v>
      </c>
      <c r="C816" s="44" t="s">
        <v>1630</v>
      </c>
      <c r="D816" s="263">
        <v>0</v>
      </c>
      <c r="E816" s="263">
        <v>0</v>
      </c>
      <c r="F816" s="190" t="str">
        <f t="shared" si="15"/>
        <v>-</v>
      </c>
    </row>
    <row r="817" spans="1:6" customFormat="1" ht="12.75" customHeight="1" x14ac:dyDescent="0.2">
      <c r="A817" s="189" t="s">
        <v>1632</v>
      </c>
      <c r="B817" s="150" t="s">
        <v>1633</v>
      </c>
      <c r="C817" s="44" t="s">
        <v>1632</v>
      </c>
      <c r="D817" s="263">
        <v>0</v>
      </c>
      <c r="E817" s="263">
        <v>0</v>
      </c>
      <c r="F817" s="190" t="str">
        <f t="shared" si="15"/>
        <v>-</v>
      </c>
    </row>
    <row r="818" spans="1:6" customFormat="1" ht="12.75" customHeight="1" x14ac:dyDescent="0.2">
      <c r="A818" s="189" t="s">
        <v>1634</v>
      </c>
      <c r="B818" s="150" t="s">
        <v>1635</v>
      </c>
      <c r="C818" s="44" t="s">
        <v>1634</v>
      </c>
      <c r="D818" s="263">
        <v>0</v>
      </c>
      <c r="E818" s="263">
        <v>0</v>
      </c>
      <c r="F818" s="190" t="str">
        <f t="shared" si="15"/>
        <v>-</v>
      </c>
    </row>
    <row r="819" spans="1:6" customFormat="1" ht="12.75" customHeight="1" x14ac:dyDescent="0.2">
      <c r="A819" s="189" t="s">
        <v>1636</v>
      </c>
      <c r="B819" s="150" t="s">
        <v>1637</v>
      </c>
      <c r="C819" s="44" t="s">
        <v>1636</v>
      </c>
      <c r="D819" s="263">
        <v>0</v>
      </c>
      <c r="E819" s="263">
        <v>0</v>
      </c>
      <c r="F819" s="190" t="str">
        <f t="shared" si="15"/>
        <v>-</v>
      </c>
    </row>
    <row r="820" spans="1:6" customFormat="1" ht="24" customHeight="1" x14ac:dyDescent="0.2">
      <c r="A820" s="189" t="s">
        <v>1638</v>
      </c>
      <c r="B820" s="195" t="s">
        <v>1639</v>
      </c>
      <c r="C820" s="44" t="s">
        <v>1638</v>
      </c>
      <c r="D820" s="263">
        <v>0</v>
      </c>
      <c r="E820" s="263">
        <v>0</v>
      </c>
      <c r="F820" s="190" t="str">
        <f t="shared" si="15"/>
        <v>-</v>
      </c>
    </row>
    <row r="821" spans="1:6" customFormat="1" ht="12.75" customHeight="1" x14ac:dyDescent="0.2">
      <c r="A821" s="189" t="s">
        <v>1640</v>
      </c>
      <c r="B821" s="150" t="s">
        <v>1641</v>
      </c>
      <c r="C821" s="44" t="s">
        <v>1640</v>
      </c>
      <c r="D821" s="263">
        <v>3180</v>
      </c>
      <c r="E821" s="263">
        <v>4770</v>
      </c>
      <c r="F821" s="190">
        <f t="shared" si="15"/>
        <v>150</v>
      </c>
    </row>
    <row r="822" spans="1:6" customFormat="1" ht="12.75" customHeight="1" x14ac:dyDescent="0.2">
      <c r="A822" s="189" t="s">
        <v>1642</v>
      </c>
      <c r="B822" s="150" t="s">
        <v>1643</v>
      </c>
      <c r="C822" s="44" t="s">
        <v>1642</v>
      </c>
      <c r="D822" s="263">
        <v>0</v>
      </c>
      <c r="E822" s="263">
        <v>0</v>
      </c>
      <c r="F822" s="190" t="str">
        <f t="shared" si="15"/>
        <v>-</v>
      </c>
    </row>
    <row r="823" spans="1:6" customFormat="1" ht="12.75" customHeight="1" x14ac:dyDescent="0.2">
      <c r="A823" s="189" t="s">
        <v>1644</v>
      </c>
      <c r="B823" s="150" t="s">
        <v>1645</v>
      </c>
      <c r="C823" s="44" t="s">
        <v>1644</v>
      </c>
      <c r="D823" s="263">
        <v>11900</v>
      </c>
      <c r="E823" s="263">
        <v>16540</v>
      </c>
      <c r="F823" s="190">
        <f t="shared" si="15"/>
        <v>138.99159663865547</v>
      </c>
    </row>
    <row r="824" spans="1:6" customFormat="1" ht="12.75" customHeight="1" x14ac:dyDescent="0.2">
      <c r="A824" s="189" t="s">
        <v>1646</v>
      </c>
      <c r="B824" s="150" t="s">
        <v>1647</v>
      </c>
      <c r="C824" s="44" t="s">
        <v>1646</v>
      </c>
      <c r="D824" s="263">
        <v>3003.57</v>
      </c>
      <c r="E824" s="263">
        <v>2527.94</v>
      </c>
      <c r="F824" s="190">
        <f t="shared" si="15"/>
        <v>84.164510898697216</v>
      </c>
    </row>
    <row r="825" spans="1:6" customFormat="1" ht="12.75" customHeight="1" x14ac:dyDescent="0.2">
      <c r="A825" s="189" t="s">
        <v>1648</v>
      </c>
      <c r="B825" s="150" t="s">
        <v>1625</v>
      </c>
      <c r="C825" s="44" t="s">
        <v>1648</v>
      </c>
      <c r="D825" s="263">
        <v>0</v>
      </c>
      <c r="E825" s="263">
        <v>0</v>
      </c>
      <c r="F825" s="190" t="str">
        <f t="shared" si="15"/>
        <v>-</v>
      </c>
    </row>
    <row r="826" spans="1:6" customFormat="1" ht="12.75" customHeight="1" x14ac:dyDescent="0.2">
      <c r="A826" s="189" t="s">
        <v>1649</v>
      </c>
      <c r="B826" s="150" t="s">
        <v>1650</v>
      </c>
      <c r="C826" s="44" t="s">
        <v>1649</v>
      </c>
      <c r="D826" s="263">
        <v>0</v>
      </c>
      <c r="E826" s="263">
        <v>0</v>
      </c>
      <c r="F826" s="190" t="str">
        <f t="shared" si="15"/>
        <v>-</v>
      </c>
    </row>
    <row r="827" spans="1:6" customFormat="1" ht="12.75" customHeight="1" x14ac:dyDescent="0.2">
      <c r="A827" s="189" t="s">
        <v>1651</v>
      </c>
      <c r="B827" s="150" t="s">
        <v>1652</v>
      </c>
      <c r="C827" s="44" t="s">
        <v>1651</v>
      </c>
      <c r="D827" s="263">
        <v>0</v>
      </c>
      <c r="E827" s="263">
        <v>0</v>
      </c>
      <c r="F827" s="190" t="str">
        <f t="shared" si="15"/>
        <v>-</v>
      </c>
    </row>
    <row r="828" spans="1:6" customFormat="1" ht="12.75" customHeight="1" x14ac:dyDescent="0.2">
      <c r="A828" s="189" t="s">
        <v>1653</v>
      </c>
      <c r="B828" s="150" t="s">
        <v>1654</v>
      </c>
      <c r="C828" s="44" t="s">
        <v>1653</v>
      </c>
      <c r="D828" s="263">
        <v>19375.87</v>
      </c>
      <c r="E828" s="263">
        <v>18174.28</v>
      </c>
      <c r="F828" s="190">
        <f t="shared" si="15"/>
        <v>93.798523627584203</v>
      </c>
    </row>
    <row r="829" spans="1:6" customFormat="1" ht="12.75" customHeight="1" x14ac:dyDescent="0.2">
      <c r="A829" s="189" t="s">
        <v>1655</v>
      </c>
      <c r="B829" s="150" t="s">
        <v>1656</v>
      </c>
      <c r="C829" s="44" t="s">
        <v>1655</v>
      </c>
      <c r="D829" s="263">
        <v>0</v>
      </c>
      <c r="E829" s="263">
        <v>0</v>
      </c>
      <c r="F829" s="190" t="str">
        <f t="shared" si="15"/>
        <v>-</v>
      </c>
    </row>
    <row r="830" spans="1:6" customFormat="1" ht="12.75" customHeight="1" x14ac:dyDescent="0.2">
      <c r="A830" s="189" t="s">
        <v>1657</v>
      </c>
      <c r="B830" s="150" t="s">
        <v>1658</v>
      </c>
      <c r="C830" s="44" t="s">
        <v>1657</v>
      </c>
      <c r="D830" s="263">
        <v>1767.11</v>
      </c>
      <c r="E830" s="263">
        <v>8087.31</v>
      </c>
      <c r="F830" s="190">
        <f t="shared" si="15"/>
        <v>457.65741804415126</v>
      </c>
    </row>
    <row r="831" spans="1:6" customFormat="1" ht="12.75" customHeight="1" x14ac:dyDescent="0.2">
      <c r="A831" s="189" t="s">
        <v>1659</v>
      </c>
      <c r="B831" s="150" t="s">
        <v>1660</v>
      </c>
      <c r="C831" s="44" t="s">
        <v>1659</v>
      </c>
      <c r="D831" s="263">
        <v>0</v>
      </c>
      <c r="E831" s="263">
        <v>0</v>
      </c>
      <c r="F831" s="190" t="str">
        <f t="shared" si="15"/>
        <v>-</v>
      </c>
    </row>
    <row r="832" spans="1:6" customFormat="1" ht="12.75" customHeight="1" x14ac:dyDescent="0.2">
      <c r="A832" s="189" t="s">
        <v>1661</v>
      </c>
      <c r="B832" s="150" t="s">
        <v>1662</v>
      </c>
      <c r="C832" s="44" t="s">
        <v>1661</v>
      </c>
      <c r="D832" s="263">
        <v>0</v>
      </c>
      <c r="E832" s="263">
        <v>0</v>
      </c>
      <c r="F832" s="190" t="str">
        <f t="shared" si="15"/>
        <v>-</v>
      </c>
    </row>
    <row r="833" spans="1:6" customFormat="1" ht="12.75" customHeight="1" x14ac:dyDescent="0.2">
      <c r="A833" s="189" t="s">
        <v>1663</v>
      </c>
      <c r="B833" s="150" t="s">
        <v>1664</v>
      </c>
      <c r="C833" s="44" t="s">
        <v>1663</v>
      </c>
      <c r="D833" s="263">
        <v>0</v>
      </c>
      <c r="E833" s="263">
        <v>0</v>
      </c>
      <c r="F833" s="190" t="str">
        <f t="shared" si="15"/>
        <v>-</v>
      </c>
    </row>
    <row r="834" spans="1:6" customFormat="1" ht="12.75" customHeight="1" x14ac:dyDescent="0.2">
      <c r="A834" s="189" t="s">
        <v>1665</v>
      </c>
      <c r="B834" s="150" t="s">
        <v>1666</v>
      </c>
      <c r="C834" s="44" t="s">
        <v>1665</v>
      </c>
      <c r="D834" s="263">
        <v>0</v>
      </c>
      <c r="E834" s="263">
        <v>0</v>
      </c>
      <c r="F834" s="190" t="str">
        <f t="shared" si="15"/>
        <v>-</v>
      </c>
    </row>
    <row r="835" spans="1:6" customFormat="1" ht="12.75" customHeight="1" x14ac:dyDescent="0.2">
      <c r="A835" s="189" t="s">
        <v>1667</v>
      </c>
      <c r="B835" s="150" t="s">
        <v>1668</v>
      </c>
      <c r="C835" s="44" t="s">
        <v>1667</v>
      </c>
      <c r="D835" s="263">
        <v>0</v>
      </c>
      <c r="E835" s="263">
        <v>0</v>
      </c>
      <c r="F835" s="190" t="str">
        <f t="shared" si="15"/>
        <v>-</v>
      </c>
    </row>
    <row r="836" spans="1:6" customFormat="1" ht="12.75" customHeight="1" x14ac:dyDescent="0.2">
      <c r="A836" s="189" t="s">
        <v>1669</v>
      </c>
      <c r="B836" s="150" t="s">
        <v>1670</v>
      </c>
      <c r="C836" s="44" t="s">
        <v>1669</v>
      </c>
      <c r="D836" s="263">
        <v>0</v>
      </c>
      <c r="E836" s="263">
        <v>0</v>
      </c>
      <c r="F836" s="190" t="str">
        <f t="shared" si="15"/>
        <v>-</v>
      </c>
    </row>
    <row r="837" spans="1:6" customFormat="1" ht="12.75" customHeight="1" x14ac:dyDescent="0.2">
      <c r="A837" s="189" t="s">
        <v>1671</v>
      </c>
      <c r="B837" s="150" t="s">
        <v>1672</v>
      </c>
      <c r="C837" s="44" t="s">
        <v>1671</v>
      </c>
      <c r="D837" s="263">
        <v>0</v>
      </c>
      <c r="E837" s="263">
        <v>0</v>
      </c>
      <c r="F837" s="190" t="str">
        <f t="shared" si="15"/>
        <v>-</v>
      </c>
    </row>
    <row r="838" spans="1:6" customFormat="1" ht="12.75" customHeight="1" x14ac:dyDescent="0.2">
      <c r="A838" s="189" t="s">
        <v>1673</v>
      </c>
      <c r="B838" s="150" t="s">
        <v>1674</v>
      </c>
      <c r="C838" s="44" t="s">
        <v>1673</v>
      </c>
      <c r="D838" s="263">
        <v>0</v>
      </c>
      <c r="E838" s="263">
        <v>0</v>
      </c>
      <c r="F838" s="190" t="str">
        <f t="shared" si="15"/>
        <v>-</v>
      </c>
    </row>
    <row r="839" spans="1:6" customFormat="1" ht="12.75" customHeight="1" x14ac:dyDescent="0.2">
      <c r="A839" s="189" t="s">
        <v>1675</v>
      </c>
      <c r="B839" s="150" t="s">
        <v>1676</v>
      </c>
      <c r="C839" s="44" t="s">
        <v>1675</v>
      </c>
      <c r="D839" s="263">
        <v>0</v>
      </c>
      <c r="E839" s="263">
        <v>0</v>
      </c>
      <c r="F839" s="190" t="str">
        <f t="shared" si="15"/>
        <v>-</v>
      </c>
    </row>
    <row r="840" spans="1:6" customFormat="1" ht="12.75" customHeight="1" x14ac:dyDescent="0.2">
      <c r="A840" s="189" t="s">
        <v>1677</v>
      </c>
      <c r="B840" s="150" t="s">
        <v>1678</v>
      </c>
      <c r="C840" s="44" t="s">
        <v>1677</v>
      </c>
      <c r="D840" s="263">
        <v>0</v>
      </c>
      <c r="E840" s="263">
        <v>0</v>
      </c>
      <c r="F840" s="190" t="str">
        <f t="shared" si="15"/>
        <v>-</v>
      </c>
    </row>
    <row r="841" spans="1:6" customFormat="1" ht="12.75" customHeight="1" x14ac:dyDescent="0.2">
      <c r="A841" s="189" t="s">
        <v>1679</v>
      </c>
      <c r="B841" s="150" t="s">
        <v>1680</v>
      </c>
      <c r="C841" s="44" t="s">
        <v>1679</v>
      </c>
      <c r="D841" s="263">
        <v>0</v>
      </c>
      <c r="E841" s="263">
        <v>0</v>
      </c>
      <c r="F841" s="190" t="str">
        <f t="shared" ref="F841:F904" si="16">IF(D841&lt;&gt;0,IF(E841/D841&gt;=100,"&gt;&gt;100",E841/D841*100),"-")</f>
        <v>-</v>
      </c>
    </row>
    <row r="842" spans="1:6" customFormat="1" ht="12.75" customHeight="1" x14ac:dyDescent="0.2">
      <c r="A842" s="189" t="s">
        <v>1681</v>
      </c>
      <c r="B842" s="150" t="s">
        <v>1682</v>
      </c>
      <c r="C842" s="44" t="s">
        <v>1681</v>
      </c>
      <c r="D842" s="263">
        <v>0</v>
      </c>
      <c r="E842" s="263">
        <v>0</v>
      </c>
      <c r="F842" s="190" t="str">
        <f t="shared" si="16"/>
        <v>-</v>
      </c>
    </row>
    <row r="843" spans="1:6" customFormat="1" ht="24" customHeight="1" x14ac:dyDescent="0.2">
      <c r="A843" s="189" t="s">
        <v>1683</v>
      </c>
      <c r="B843" s="150" t="s">
        <v>1684</v>
      </c>
      <c r="C843" s="44" t="s">
        <v>1683</v>
      </c>
      <c r="D843" s="263">
        <v>0</v>
      </c>
      <c r="E843" s="263">
        <v>0</v>
      </c>
      <c r="F843" s="190" t="str">
        <f t="shared" si="16"/>
        <v>-</v>
      </c>
    </row>
    <row r="844" spans="1:6" customFormat="1" ht="24" customHeight="1" x14ac:dyDescent="0.2">
      <c r="A844" s="189" t="s">
        <v>1685</v>
      </c>
      <c r="B844" s="150" t="s">
        <v>1686</v>
      </c>
      <c r="C844" s="44" t="s">
        <v>1685</v>
      </c>
      <c r="D844" s="263">
        <v>0</v>
      </c>
      <c r="E844" s="263">
        <v>0</v>
      </c>
      <c r="F844" s="190" t="str">
        <f t="shared" si="16"/>
        <v>-</v>
      </c>
    </row>
    <row r="845" spans="1:6" customFormat="1" ht="12.75" customHeight="1" x14ac:dyDescent="0.2">
      <c r="A845" s="189" t="s">
        <v>1687</v>
      </c>
      <c r="B845" s="150" t="s">
        <v>1688</v>
      </c>
      <c r="C845" s="44" t="s">
        <v>1687</v>
      </c>
      <c r="D845" s="263">
        <v>0</v>
      </c>
      <c r="E845" s="263">
        <v>0</v>
      </c>
      <c r="F845" s="190" t="str">
        <f t="shared" si="16"/>
        <v>-</v>
      </c>
    </row>
    <row r="846" spans="1:6" customFormat="1" ht="24" customHeight="1" x14ac:dyDescent="0.2">
      <c r="A846" s="189" t="s">
        <v>1689</v>
      </c>
      <c r="B846" s="150" t="s">
        <v>1690</v>
      </c>
      <c r="C846" s="44" t="s">
        <v>1689</v>
      </c>
      <c r="D846" s="263">
        <v>0</v>
      </c>
      <c r="E846" s="263">
        <v>0</v>
      </c>
      <c r="F846" s="190" t="str">
        <f t="shared" si="16"/>
        <v>-</v>
      </c>
    </row>
    <row r="847" spans="1:6" customFormat="1" ht="12.75" customHeight="1" x14ac:dyDescent="0.2">
      <c r="A847" s="189" t="s">
        <v>1691</v>
      </c>
      <c r="B847" s="150" t="s">
        <v>1692</v>
      </c>
      <c r="C847" s="44" t="s">
        <v>1691</v>
      </c>
      <c r="D847" s="263">
        <v>0</v>
      </c>
      <c r="E847" s="263">
        <v>0</v>
      </c>
      <c r="F847" s="190" t="str">
        <f t="shared" si="16"/>
        <v>-</v>
      </c>
    </row>
    <row r="848" spans="1:6" customFormat="1" ht="24" customHeight="1" x14ac:dyDescent="0.2">
      <c r="A848" s="189" t="s">
        <v>1693</v>
      </c>
      <c r="B848" s="150" t="s">
        <v>1694</v>
      </c>
      <c r="C848" s="44" t="s">
        <v>1693</v>
      </c>
      <c r="D848" s="263">
        <v>0</v>
      </c>
      <c r="E848" s="263">
        <v>0</v>
      </c>
      <c r="F848" s="190" t="str">
        <f t="shared" si="16"/>
        <v>-</v>
      </c>
    </row>
    <row r="849" spans="1:6" customFormat="1" ht="24" customHeight="1" x14ac:dyDescent="0.2">
      <c r="A849" s="189" t="s">
        <v>1695</v>
      </c>
      <c r="B849" s="150" t="s">
        <v>1696</v>
      </c>
      <c r="C849" s="44" t="s">
        <v>1695</v>
      </c>
      <c r="D849" s="263">
        <v>0</v>
      </c>
      <c r="E849" s="263">
        <v>0</v>
      </c>
      <c r="F849" s="190" t="str">
        <f t="shared" si="16"/>
        <v>-</v>
      </c>
    </row>
    <row r="850" spans="1:6" customFormat="1" ht="12.75" customHeight="1" x14ac:dyDescent="0.2">
      <c r="A850" s="189" t="s">
        <v>1697</v>
      </c>
      <c r="B850" s="150" t="s">
        <v>1698</v>
      </c>
      <c r="C850" s="44" t="s">
        <v>1697</v>
      </c>
      <c r="D850" s="263">
        <v>0</v>
      </c>
      <c r="E850" s="263">
        <v>0</v>
      </c>
      <c r="F850" s="190" t="str">
        <f t="shared" si="16"/>
        <v>-</v>
      </c>
    </row>
    <row r="851" spans="1:6" customFormat="1" ht="12.75" customHeight="1" x14ac:dyDescent="0.2">
      <c r="A851" s="189" t="s">
        <v>1699</v>
      </c>
      <c r="B851" s="150" t="s">
        <v>1700</v>
      </c>
      <c r="C851" s="44" t="s">
        <v>1699</v>
      </c>
      <c r="D851" s="263">
        <v>0</v>
      </c>
      <c r="E851" s="263">
        <v>0</v>
      </c>
      <c r="F851" s="190" t="str">
        <f t="shared" si="16"/>
        <v>-</v>
      </c>
    </row>
    <row r="852" spans="1:6" customFormat="1" ht="24" customHeight="1" x14ac:dyDescent="0.2">
      <c r="A852" s="189" t="s">
        <v>1701</v>
      </c>
      <c r="B852" s="195" t="s">
        <v>1702</v>
      </c>
      <c r="C852" s="44" t="s">
        <v>1701</v>
      </c>
      <c r="D852" s="263">
        <v>0</v>
      </c>
      <c r="E852" s="263">
        <v>0</v>
      </c>
      <c r="F852" s="190" t="str">
        <f t="shared" si="16"/>
        <v>-</v>
      </c>
    </row>
    <row r="853" spans="1:6" customFormat="1" ht="24" customHeight="1" x14ac:dyDescent="0.2">
      <c r="A853" s="189" t="s">
        <v>1703</v>
      </c>
      <c r="B853" s="195" t="s">
        <v>1704</v>
      </c>
      <c r="C853" s="44" t="s">
        <v>1703</v>
      </c>
      <c r="D853" s="263">
        <v>0</v>
      </c>
      <c r="E853" s="263">
        <v>0</v>
      </c>
      <c r="F853" s="190" t="str">
        <f t="shared" si="16"/>
        <v>-</v>
      </c>
    </row>
    <row r="854" spans="1:6" customFormat="1" ht="24" customHeight="1" x14ac:dyDescent="0.2">
      <c r="A854" s="189" t="s">
        <v>1705</v>
      </c>
      <c r="B854" s="150" t="s">
        <v>1706</v>
      </c>
      <c r="C854" s="44" t="s">
        <v>1705</v>
      </c>
      <c r="D854" s="263">
        <v>0</v>
      </c>
      <c r="E854" s="263">
        <v>0</v>
      </c>
      <c r="F854" s="190" t="str">
        <f t="shared" si="16"/>
        <v>-</v>
      </c>
    </row>
    <row r="855" spans="1:6" customFormat="1" ht="24" customHeight="1" x14ac:dyDescent="0.2">
      <c r="A855" s="189" t="s">
        <v>1707</v>
      </c>
      <c r="B855" s="195" t="s">
        <v>1708</v>
      </c>
      <c r="C855" s="44" t="s">
        <v>1707</v>
      </c>
      <c r="D855" s="263">
        <v>0</v>
      </c>
      <c r="E855" s="263">
        <v>0</v>
      </c>
      <c r="F855" s="190" t="str">
        <f t="shared" si="16"/>
        <v>-</v>
      </c>
    </row>
    <row r="856" spans="1:6" customFormat="1" ht="24" customHeight="1" x14ac:dyDescent="0.2">
      <c r="A856" s="189" t="s">
        <v>1709</v>
      </c>
      <c r="B856" s="150" t="s">
        <v>1710</v>
      </c>
      <c r="C856" s="44" t="s">
        <v>1709</v>
      </c>
      <c r="D856" s="263">
        <v>0</v>
      </c>
      <c r="E856" s="263">
        <v>0</v>
      </c>
      <c r="F856" s="190" t="str">
        <f t="shared" si="16"/>
        <v>-</v>
      </c>
    </row>
    <row r="857" spans="1:6" customFormat="1" ht="12.75" customHeight="1" x14ac:dyDescent="0.2">
      <c r="A857" s="189" t="s">
        <v>1711</v>
      </c>
      <c r="B857" s="150" t="s">
        <v>1712</v>
      </c>
      <c r="C857" s="44" t="s">
        <v>1711</v>
      </c>
      <c r="D857" s="263">
        <v>0</v>
      </c>
      <c r="E857" s="263">
        <v>0</v>
      </c>
      <c r="F857" s="190" t="str">
        <f t="shared" si="16"/>
        <v>-</v>
      </c>
    </row>
    <row r="858" spans="1:6" customFormat="1" ht="12.75" customHeight="1" x14ac:dyDescent="0.2">
      <c r="A858" s="189" t="s">
        <v>1713</v>
      </c>
      <c r="B858" s="150" t="s">
        <v>1714</v>
      </c>
      <c r="C858" s="44" t="s">
        <v>1713</v>
      </c>
      <c r="D858" s="263">
        <v>0</v>
      </c>
      <c r="E858" s="263">
        <v>0</v>
      </c>
      <c r="F858" s="190" t="str">
        <f t="shared" si="16"/>
        <v>-</v>
      </c>
    </row>
    <row r="859" spans="1:6" customFormat="1" ht="12.75" customHeight="1" x14ac:dyDescent="0.2">
      <c r="A859" s="189" t="s">
        <v>1715</v>
      </c>
      <c r="B859" s="150" t="s">
        <v>1716</v>
      </c>
      <c r="C859" s="44" t="s">
        <v>1715</v>
      </c>
      <c r="D859" s="263">
        <v>0</v>
      </c>
      <c r="E859" s="263">
        <v>0</v>
      </c>
      <c r="F859" s="190" t="str">
        <f t="shared" si="16"/>
        <v>-</v>
      </c>
    </row>
    <row r="860" spans="1:6" customFormat="1" ht="12.75" customHeight="1" x14ac:dyDescent="0.2">
      <c r="A860" s="189" t="s">
        <v>1717</v>
      </c>
      <c r="B860" s="150" t="s">
        <v>1718</v>
      </c>
      <c r="C860" s="44" t="s">
        <v>1717</v>
      </c>
      <c r="D860" s="263">
        <v>0</v>
      </c>
      <c r="E860" s="263">
        <v>0</v>
      </c>
      <c r="F860" s="190" t="str">
        <f t="shared" si="16"/>
        <v>-</v>
      </c>
    </row>
    <row r="861" spans="1:6" customFormat="1" ht="12.75" customHeight="1" x14ac:dyDescent="0.2">
      <c r="A861" s="189" t="s">
        <v>1719</v>
      </c>
      <c r="B861" s="150" t="s">
        <v>1720</v>
      </c>
      <c r="C861" s="44" t="s">
        <v>1719</v>
      </c>
      <c r="D861" s="263">
        <v>0</v>
      </c>
      <c r="E861" s="263">
        <v>0</v>
      </c>
      <c r="F861" s="190" t="str">
        <f t="shared" si="16"/>
        <v>-</v>
      </c>
    </row>
    <row r="862" spans="1:6" customFormat="1" ht="12.75" customHeight="1" x14ac:dyDescent="0.2">
      <c r="A862" s="189" t="s">
        <v>1721</v>
      </c>
      <c r="B862" s="150" t="s">
        <v>1722</v>
      </c>
      <c r="C862" s="44" t="s">
        <v>1721</v>
      </c>
      <c r="D862" s="263">
        <v>0</v>
      </c>
      <c r="E862" s="263">
        <v>0</v>
      </c>
      <c r="F862" s="190" t="str">
        <f t="shared" si="16"/>
        <v>-</v>
      </c>
    </row>
    <row r="863" spans="1:6" customFormat="1" ht="12.75" customHeight="1" x14ac:dyDescent="0.2">
      <c r="A863" s="189" t="s">
        <v>1723</v>
      </c>
      <c r="B863" s="150" t="s">
        <v>1724</v>
      </c>
      <c r="C863" s="44" t="s">
        <v>1723</v>
      </c>
      <c r="D863" s="263">
        <v>0</v>
      </c>
      <c r="E863" s="263">
        <v>0</v>
      </c>
      <c r="F863" s="190" t="str">
        <f t="shared" si="16"/>
        <v>-</v>
      </c>
    </row>
    <row r="864" spans="1:6" customFormat="1" ht="12.75" customHeight="1" x14ac:dyDescent="0.2">
      <c r="A864" s="189" t="s">
        <v>1725</v>
      </c>
      <c r="B864" s="150" t="s">
        <v>1726</v>
      </c>
      <c r="C864" s="44" t="s">
        <v>1725</v>
      </c>
      <c r="D864" s="263">
        <v>0</v>
      </c>
      <c r="E864" s="263">
        <v>0</v>
      </c>
      <c r="F864" s="190" t="str">
        <f t="shared" si="16"/>
        <v>-</v>
      </c>
    </row>
    <row r="865" spans="1:6" customFormat="1" ht="12.75" customHeight="1" x14ac:dyDescent="0.2">
      <c r="A865" s="189" t="s">
        <v>1727</v>
      </c>
      <c r="B865" s="150" t="s">
        <v>1728</v>
      </c>
      <c r="C865" s="44" t="s">
        <v>1727</v>
      </c>
      <c r="D865" s="263">
        <v>0</v>
      </c>
      <c r="E865" s="263">
        <v>0</v>
      </c>
      <c r="F865" s="190" t="str">
        <f t="shared" si="16"/>
        <v>-</v>
      </c>
    </row>
    <row r="866" spans="1:6" customFormat="1" ht="12.75" customHeight="1" x14ac:dyDescent="0.2">
      <c r="A866" s="189" t="s">
        <v>1729</v>
      </c>
      <c r="B866" s="150" t="s">
        <v>1730</v>
      </c>
      <c r="C866" s="44" t="s">
        <v>1729</v>
      </c>
      <c r="D866" s="263">
        <v>0</v>
      </c>
      <c r="E866" s="263">
        <v>0</v>
      </c>
      <c r="F866" s="190" t="str">
        <f t="shared" si="16"/>
        <v>-</v>
      </c>
    </row>
    <row r="867" spans="1:6" customFormat="1" ht="12.75" customHeight="1" x14ac:dyDescent="0.2">
      <c r="A867" s="189" t="s">
        <v>1731</v>
      </c>
      <c r="B867" s="150" t="s">
        <v>1732</v>
      </c>
      <c r="C867" s="44" t="s">
        <v>1731</v>
      </c>
      <c r="D867" s="263">
        <v>0</v>
      </c>
      <c r="E867" s="263">
        <v>0</v>
      </c>
      <c r="F867" s="190" t="str">
        <f t="shared" si="16"/>
        <v>-</v>
      </c>
    </row>
    <row r="868" spans="1:6" customFormat="1" ht="12.75" customHeight="1" x14ac:dyDescent="0.2">
      <c r="A868" s="189" t="s">
        <v>1733</v>
      </c>
      <c r="B868" s="150" t="s">
        <v>1734</v>
      </c>
      <c r="C868" s="44" t="s">
        <v>1733</v>
      </c>
      <c r="D868" s="263">
        <v>0</v>
      </c>
      <c r="E868" s="263">
        <v>0</v>
      </c>
      <c r="F868" s="190" t="str">
        <f t="shared" si="16"/>
        <v>-</v>
      </c>
    </row>
    <row r="869" spans="1:6" customFormat="1" ht="24" customHeight="1" x14ac:dyDescent="0.2">
      <c r="A869" s="189" t="s">
        <v>1735</v>
      </c>
      <c r="B869" s="195" t="s">
        <v>1736</v>
      </c>
      <c r="C869" s="44" t="s">
        <v>1735</v>
      </c>
      <c r="D869" s="263">
        <v>0</v>
      </c>
      <c r="E869" s="263">
        <v>0</v>
      </c>
      <c r="F869" s="190" t="str">
        <f t="shared" si="16"/>
        <v>-</v>
      </c>
    </row>
    <row r="870" spans="1:6" customFormat="1" ht="24" customHeight="1" x14ac:dyDescent="0.2">
      <c r="A870" s="189" t="s">
        <v>1737</v>
      </c>
      <c r="B870" s="195" t="s">
        <v>1738</v>
      </c>
      <c r="C870" s="44" t="s">
        <v>1737</v>
      </c>
      <c r="D870" s="263">
        <v>0</v>
      </c>
      <c r="E870" s="263">
        <v>0</v>
      </c>
      <c r="F870" s="190" t="str">
        <f t="shared" si="16"/>
        <v>-</v>
      </c>
    </row>
    <row r="871" spans="1:6" customFormat="1" ht="24" customHeight="1" x14ac:dyDescent="0.2">
      <c r="A871" s="189" t="s">
        <v>1739</v>
      </c>
      <c r="B871" s="150" t="s">
        <v>1740</v>
      </c>
      <c r="C871" s="44" t="s">
        <v>1739</v>
      </c>
      <c r="D871" s="263">
        <v>0</v>
      </c>
      <c r="E871" s="263">
        <v>0</v>
      </c>
      <c r="F871" s="190" t="str">
        <f t="shared" si="16"/>
        <v>-</v>
      </c>
    </row>
    <row r="872" spans="1:6" customFormat="1" ht="24" customHeight="1" x14ac:dyDescent="0.2">
      <c r="A872" s="189" t="s">
        <v>1741</v>
      </c>
      <c r="B872" s="150" t="s">
        <v>1742</v>
      </c>
      <c r="C872" s="44" t="s">
        <v>1741</v>
      </c>
      <c r="D872" s="263">
        <v>0</v>
      </c>
      <c r="E872" s="263">
        <v>0</v>
      </c>
      <c r="F872" s="190" t="str">
        <f t="shared" si="16"/>
        <v>-</v>
      </c>
    </row>
    <row r="873" spans="1:6" customFormat="1" ht="12.75" customHeight="1" x14ac:dyDescent="0.2">
      <c r="A873" s="189" t="s">
        <v>1743</v>
      </c>
      <c r="B873" s="150" t="s">
        <v>1744</v>
      </c>
      <c r="C873" s="44" t="s">
        <v>1743</v>
      </c>
      <c r="D873" s="263">
        <v>0</v>
      </c>
      <c r="E873" s="263">
        <v>0</v>
      </c>
      <c r="F873" s="190" t="str">
        <f t="shared" si="16"/>
        <v>-</v>
      </c>
    </row>
    <row r="874" spans="1:6" customFormat="1" ht="12.75" customHeight="1" x14ac:dyDescent="0.2">
      <c r="A874" s="189" t="s">
        <v>1745</v>
      </c>
      <c r="B874" s="150" t="s">
        <v>1746</v>
      </c>
      <c r="C874" s="44" t="s">
        <v>1745</v>
      </c>
      <c r="D874" s="263">
        <v>0</v>
      </c>
      <c r="E874" s="263">
        <v>0</v>
      </c>
      <c r="F874" s="190" t="str">
        <f t="shared" si="16"/>
        <v>-</v>
      </c>
    </row>
    <row r="875" spans="1:6" customFormat="1" ht="12.75" customHeight="1" x14ac:dyDescent="0.2">
      <c r="A875" s="189" t="s">
        <v>1747</v>
      </c>
      <c r="B875" s="150" t="s">
        <v>1748</v>
      </c>
      <c r="C875" s="44" t="s">
        <v>1747</v>
      </c>
      <c r="D875" s="263">
        <v>0</v>
      </c>
      <c r="E875" s="263">
        <v>0</v>
      </c>
      <c r="F875" s="190" t="str">
        <f t="shared" si="16"/>
        <v>-</v>
      </c>
    </row>
    <row r="876" spans="1:6" customFormat="1" ht="12.75" customHeight="1" x14ac:dyDescent="0.2">
      <c r="A876" s="189" t="s">
        <v>1749</v>
      </c>
      <c r="B876" s="150" t="s">
        <v>1750</v>
      </c>
      <c r="C876" s="44" t="s">
        <v>1749</v>
      </c>
      <c r="D876" s="263">
        <v>0</v>
      </c>
      <c r="E876" s="263">
        <v>0</v>
      </c>
      <c r="F876" s="190" t="str">
        <f t="shared" si="16"/>
        <v>-</v>
      </c>
    </row>
    <row r="877" spans="1:6" customFormat="1" ht="12.75" customHeight="1" x14ac:dyDescent="0.2">
      <c r="A877" s="189" t="s">
        <v>1751</v>
      </c>
      <c r="B877" s="150" t="s">
        <v>1752</v>
      </c>
      <c r="C877" s="44" t="s">
        <v>1751</v>
      </c>
      <c r="D877" s="263">
        <v>0</v>
      </c>
      <c r="E877" s="263">
        <v>0</v>
      </c>
      <c r="F877" s="190" t="str">
        <f t="shared" si="16"/>
        <v>-</v>
      </c>
    </row>
    <row r="878" spans="1:6" customFormat="1" ht="12.75" customHeight="1" x14ac:dyDescent="0.2">
      <c r="A878" s="189" t="s">
        <v>1753</v>
      </c>
      <c r="B878" s="150" t="s">
        <v>1754</v>
      </c>
      <c r="C878" s="44" t="s">
        <v>1753</v>
      </c>
      <c r="D878" s="263">
        <v>0</v>
      </c>
      <c r="E878" s="263">
        <v>0</v>
      </c>
      <c r="F878" s="190" t="str">
        <f t="shared" si="16"/>
        <v>-</v>
      </c>
    </row>
    <row r="879" spans="1:6" customFormat="1" ht="12.75" customHeight="1" x14ac:dyDescent="0.2">
      <c r="A879" s="189" t="s">
        <v>1755</v>
      </c>
      <c r="B879" s="150" t="s">
        <v>1756</v>
      </c>
      <c r="C879" s="44" t="s">
        <v>1755</v>
      </c>
      <c r="D879" s="263">
        <v>0</v>
      </c>
      <c r="E879" s="263">
        <v>335214.7</v>
      </c>
      <c r="F879" s="190" t="str">
        <f t="shared" si="16"/>
        <v>-</v>
      </c>
    </row>
    <row r="880" spans="1:6" customFormat="1" ht="12.75" customHeight="1" x14ac:dyDescent="0.2">
      <c r="A880" s="189" t="s">
        <v>1757</v>
      </c>
      <c r="B880" s="150" t="s">
        <v>1758</v>
      </c>
      <c r="C880" s="44" t="s">
        <v>1757</v>
      </c>
      <c r="D880" s="263">
        <v>0</v>
      </c>
      <c r="E880" s="263">
        <v>0</v>
      </c>
      <c r="F880" s="190" t="str">
        <f t="shared" si="16"/>
        <v>-</v>
      </c>
    </row>
    <row r="881" spans="1:6" customFormat="1" ht="12.75" customHeight="1" x14ac:dyDescent="0.2">
      <c r="A881" s="189" t="s">
        <v>1759</v>
      </c>
      <c r="B881" s="150" t="s">
        <v>1760</v>
      </c>
      <c r="C881" s="44" t="s">
        <v>1759</v>
      </c>
      <c r="D881" s="263">
        <v>0</v>
      </c>
      <c r="E881" s="263">
        <v>0</v>
      </c>
      <c r="F881" s="190" t="str">
        <f t="shared" si="16"/>
        <v>-</v>
      </c>
    </row>
    <row r="882" spans="1:6" customFormat="1" ht="24" customHeight="1" x14ac:dyDescent="0.2">
      <c r="A882" s="189" t="s">
        <v>1761</v>
      </c>
      <c r="B882" s="150" t="s">
        <v>1762</v>
      </c>
      <c r="C882" s="44" t="s">
        <v>1761</v>
      </c>
      <c r="D882" s="263">
        <v>0</v>
      </c>
      <c r="E882" s="263">
        <v>0</v>
      </c>
      <c r="F882" s="190" t="str">
        <f t="shared" si="16"/>
        <v>-</v>
      </c>
    </row>
    <row r="883" spans="1:6" customFormat="1" ht="24" customHeight="1" x14ac:dyDescent="0.2">
      <c r="A883" s="189" t="s">
        <v>1763</v>
      </c>
      <c r="B883" s="150" t="s">
        <v>1764</v>
      </c>
      <c r="C883" s="44" t="s">
        <v>1763</v>
      </c>
      <c r="D883" s="263">
        <v>0</v>
      </c>
      <c r="E883" s="263">
        <v>0</v>
      </c>
      <c r="F883" s="190" t="str">
        <f t="shared" si="16"/>
        <v>-</v>
      </c>
    </row>
    <row r="884" spans="1:6" customFormat="1" ht="12.75" customHeight="1" x14ac:dyDescent="0.2">
      <c r="A884" s="189" t="s">
        <v>1765</v>
      </c>
      <c r="B884" s="150" t="s">
        <v>1766</v>
      </c>
      <c r="C884" s="44" t="s">
        <v>1765</v>
      </c>
      <c r="D884" s="263">
        <v>0</v>
      </c>
      <c r="E884" s="263">
        <v>0</v>
      </c>
      <c r="F884" s="190" t="str">
        <f t="shared" si="16"/>
        <v>-</v>
      </c>
    </row>
    <row r="885" spans="1:6" customFormat="1" ht="24" customHeight="1" x14ac:dyDescent="0.2">
      <c r="A885" s="189" t="s">
        <v>1767</v>
      </c>
      <c r="B885" s="150" t="s">
        <v>1768</v>
      </c>
      <c r="C885" s="44" t="s">
        <v>1767</v>
      </c>
      <c r="D885" s="263">
        <v>0</v>
      </c>
      <c r="E885" s="263">
        <v>0</v>
      </c>
      <c r="F885" s="190" t="str">
        <f t="shared" si="16"/>
        <v>-</v>
      </c>
    </row>
    <row r="886" spans="1:6" customFormat="1" ht="24" customHeight="1" x14ac:dyDescent="0.2">
      <c r="A886" s="189" t="s">
        <v>1769</v>
      </c>
      <c r="B886" s="150" t="s">
        <v>1770</v>
      </c>
      <c r="C886" s="44" t="s">
        <v>1769</v>
      </c>
      <c r="D886" s="263">
        <v>0</v>
      </c>
      <c r="E886" s="263">
        <v>0</v>
      </c>
      <c r="F886" s="190" t="str">
        <f t="shared" si="16"/>
        <v>-</v>
      </c>
    </row>
    <row r="887" spans="1:6" customFormat="1" ht="24" customHeight="1" x14ac:dyDescent="0.2">
      <c r="A887" s="189" t="s">
        <v>1771</v>
      </c>
      <c r="B887" s="150" t="s">
        <v>1772</v>
      </c>
      <c r="C887" s="44" t="s">
        <v>1771</v>
      </c>
      <c r="D887" s="263">
        <v>0</v>
      </c>
      <c r="E887" s="263">
        <v>0</v>
      </c>
      <c r="F887" s="190" t="str">
        <f t="shared" si="16"/>
        <v>-</v>
      </c>
    </row>
    <row r="888" spans="1:6" customFormat="1" ht="24" customHeight="1" x14ac:dyDescent="0.2">
      <c r="A888" s="189" t="s">
        <v>1773</v>
      </c>
      <c r="B888" s="150" t="s">
        <v>1774</v>
      </c>
      <c r="C888" s="44" t="s">
        <v>1773</v>
      </c>
      <c r="D888" s="263">
        <v>0</v>
      </c>
      <c r="E888" s="263">
        <v>0</v>
      </c>
      <c r="F888" s="190" t="str">
        <f t="shared" si="16"/>
        <v>-</v>
      </c>
    </row>
    <row r="889" spans="1:6" customFormat="1" ht="24" customHeight="1" x14ac:dyDescent="0.2">
      <c r="A889" s="189" t="s">
        <v>1775</v>
      </c>
      <c r="B889" s="195" t="s">
        <v>1776</v>
      </c>
      <c r="C889" s="44" t="s">
        <v>1775</v>
      </c>
      <c r="D889" s="263">
        <v>0</v>
      </c>
      <c r="E889" s="263">
        <v>0</v>
      </c>
      <c r="F889" s="190" t="str">
        <f t="shared" si="16"/>
        <v>-</v>
      </c>
    </row>
    <row r="890" spans="1:6" customFormat="1" ht="24" customHeight="1" x14ac:dyDescent="0.2">
      <c r="A890" s="189" t="s">
        <v>1777</v>
      </c>
      <c r="B890" s="195" t="s">
        <v>1778</v>
      </c>
      <c r="C890" s="44" t="s">
        <v>1777</v>
      </c>
      <c r="D890" s="263">
        <v>0</v>
      </c>
      <c r="E890" s="263">
        <v>0</v>
      </c>
      <c r="F890" s="190" t="str">
        <f t="shared" si="16"/>
        <v>-</v>
      </c>
    </row>
    <row r="891" spans="1:6" customFormat="1" ht="12.75" customHeight="1" x14ac:dyDescent="0.2">
      <c r="A891" s="189" t="s">
        <v>1779</v>
      </c>
      <c r="B891" s="150" t="s">
        <v>1780</v>
      </c>
      <c r="C891" s="44" t="s">
        <v>1779</v>
      </c>
      <c r="D891" s="263">
        <v>0</v>
      </c>
      <c r="E891" s="263">
        <v>0</v>
      </c>
      <c r="F891" s="190" t="str">
        <f t="shared" si="16"/>
        <v>-</v>
      </c>
    </row>
    <row r="892" spans="1:6" customFormat="1" ht="12.75" customHeight="1" x14ac:dyDescent="0.2">
      <c r="A892" s="189" t="s">
        <v>1781</v>
      </c>
      <c r="B892" s="150" t="s">
        <v>1782</v>
      </c>
      <c r="C892" s="44" t="s">
        <v>1781</v>
      </c>
      <c r="D892" s="263">
        <v>0</v>
      </c>
      <c r="E892" s="263">
        <v>0</v>
      </c>
      <c r="F892" s="190" t="str">
        <f t="shared" si="16"/>
        <v>-</v>
      </c>
    </row>
    <row r="893" spans="1:6" customFormat="1" ht="12.75" customHeight="1" x14ac:dyDescent="0.2">
      <c r="A893" s="189" t="s">
        <v>1783</v>
      </c>
      <c r="B893" s="150" t="s">
        <v>1784</v>
      </c>
      <c r="C893" s="44" t="s">
        <v>1783</v>
      </c>
      <c r="D893" s="263">
        <v>0</v>
      </c>
      <c r="E893" s="263">
        <v>0</v>
      </c>
      <c r="F893" s="190" t="str">
        <f t="shared" si="16"/>
        <v>-</v>
      </c>
    </row>
    <row r="894" spans="1:6" customFormat="1" ht="12.75" customHeight="1" x14ac:dyDescent="0.2">
      <c r="A894" s="189" t="s">
        <v>1785</v>
      </c>
      <c r="B894" s="150" t="s">
        <v>1786</v>
      </c>
      <c r="C894" s="44" t="s">
        <v>1785</v>
      </c>
      <c r="D894" s="263">
        <v>0</v>
      </c>
      <c r="E894" s="263">
        <v>0</v>
      </c>
      <c r="F894" s="190" t="str">
        <f t="shared" si="16"/>
        <v>-</v>
      </c>
    </row>
    <row r="895" spans="1:6" customFormat="1" ht="12.75" customHeight="1" x14ac:dyDescent="0.2">
      <c r="A895" s="189" t="s">
        <v>1787</v>
      </c>
      <c r="B895" s="150" t="s">
        <v>1788</v>
      </c>
      <c r="C895" s="44" t="s">
        <v>1787</v>
      </c>
      <c r="D895" s="263">
        <v>0</v>
      </c>
      <c r="E895" s="263">
        <v>0</v>
      </c>
      <c r="F895" s="190" t="str">
        <f t="shared" si="16"/>
        <v>-</v>
      </c>
    </row>
    <row r="896" spans="1:6" customFormat="1" ht="12.75" customHeight="1" x14ac:dyDescent="0.2">
      <c r="A896" s="189" t="s">
        <v>1789</v>
      </c>
      <c r="B896" s="150" t="s">
        <v>1790</v>
      </c>
      <c r="C896" s="44" t="s">
        <v>1789</v>
      </c>
      <c r="D896" s="263">
        <v>0</v>
      </c>
      <c r="E896" s="263">
        <v>0</v>
      </c>
      <c r="F896" s="190" t="str">
        <f t="shared" si="16"/>
        <v>-</v>
      </c>
    </row>
    <row r="897" spans="1:6" customFormat="1" ht="24" customHeight="1" x14ac:dyDescent="0.2">
      <c r="A897" s="189" t="s">
        <v>1791</v>
      </c>
      <c r="B897" s="150" t="s">
        <v>1792</v>
      </c>
      <c r="C897" s="44" t="s">
        <v>1791</v>
      </c>
      <c r="D897" s="263">
        <v>0</v>
      </c>
      <c r="E897" s="263">
        <v>0</v>
      </c>
      <c r="F897" s="190" t="str">
        <f t="shared" si="16"/>
        <v>-</v>
      </c>
    </row>
    <row r="898" spans="1:6" customFormat="1" ht="12.75" customHeight="1" x14ac:dyDescent="0.2">
      <c r="A898" s="189" t="s">
        <v>1793</v>
      </c>
      <c r="B898" s="150" t="s">
        <v>1794</v>
      </c>
      <c r="C898" s="44" t="s">
        <v>1793</v>
      </c>
      <c r="D898" s="263">
        <v>0</v>
      </c>
      <c r="E898" s="263">
        <v>0</v>
      </c>
      <c r="F898" s="190" t="str">
        <f t="shared" si="16"/>
        <v>-</v>
      </c>
    </row>
    <row r="899" spans="1:6" customFormat="1" ht="12.75" customHeight="1" x14ac:dyDescent="0.2">
      <c r="A899" s="189" t="s">
        <v>1795</v>
      </c>
      <c r="B899" s="150" t="s">
        <v>1796</v>
      </c>
      <c r="C899" s="44" t="s">
        <v>1795</v>
      </c>
      <c r="D899" s="263">
        <v>0</v>
      </c>
      <c r="E899" s="263">
        <v>0</v>
      </c>
      <c r="F899" s="190" t="str">
        <f t="shared" si="16"/>
        <v>-</v>
      </c>
    </row>
    <row r="900" spans="1:6" customFormat="1" ht="12.75" customHeight="1" x14ac:dyDescent="0.2">
      <c r="A900" s="189" t="s">
        <v>1797</v>
      </c>
      <c r="B900" s="150" t="s">
        <v>1798</v>
      </c>
      <c r="C900" s="44" t="s">
        <v>1797</v>
      </c>
      <c r="D900" s="263">
        <v>2720.7</v>
      </c>
      <c r="E900" s="263">
        <v>0</v>
      </c>
      <c r="F900" s="190">
        <f t="shared" si="16"/>
        <v>0</v>
      </c>
    </row>
    <row r="901" spans="1:6" customFormat="1" ht="12.75" customHeight="1" x14ac:dyDescent="0.2">
      <c r="A901" s="189" t="s">
        <v>1799</v>
      </c>
      <c r="B901" s="150" t="s">
        <v>1800</v>
      </c>
      <c r="C901" s="44" t="s">
        <v>1799</v>
      </c>
      <c r="D901" s="263">
        <v>0</v>
      </c>
      <c r="E901" s="263">
        <v>0</v>
      </c>
      <c r="F901" s="190" t="str">
        <f t="shared" si="16"/>
        <v>-</v>
      </c>
    </row>
    <row r="902" spans="1:6" customFormat="1" ht="12.75" customHeight="1" x14ac:dyDescent="0.2">
      <c r="A902" s="189" t="s">
        <v>1801</v>
      </c>
      <c r="B902" s="150" t="s">
        <v>1802</v>
      </c>
      <c r="C902" s="44" t="s">
        <v>1801</v>
      </c>
      <c r="D902" s="263">
        <v>0</v>
      </c>
      <c r="E902" s="263">
        <v>0</v>
      </c>
      <c r="F902" s="190" t="str">
        <f t="shared" si="16"/>
        <v>-</v>
      </c>
    </row>
    <row r="903" spans="1:6" customFormat="1" ht="12.75" customHeight="1" x14ac:dyDescent="0.2">
      <c r="A903" s="189" t="s">
        <v>1803</v>
      </c>
      <c r="B903" s="150" t="s">
        <v>1804</v>
      </c>
      <c r="C903" s="44" t="s">
        <v>1803</v>
      </c>
      <c r="D903" s="263">
        <v>0</v>
      </c>
      <c r="E903" s="263">
        <v>0</v>
      </c>
      <c r="F903" s="190" t="str">
        <f t="shared" si="16"/>
        <v>-</v>
      </c>
    </row>
    <row r="904" spans="1:6" customFormat="1" ht="12.75" customHeight="1" x14ac:dyDescent="0.2">
      <c r="A904" s="189" t="s">
        <v>1805</v>
      </c>
      <c r="B904" s="150" t="s">
        <v>1806</v>
      </c>
      <c r="C904" s="44" t="s">
        <v>1805</v>
      </c>
      <c r="D904" s="263">
        <v>0</v>
      </c>
      <c r="E904" s="263">
        <v>0</v>
      </c>
      <c r="F904" s="190" t="str">
        <f t="shared" si="16"/>
        <v>-</v>
      </c>
    </row>
    <row r="905" spans="1:6" customFormat="1" ht="12.75" customHeight="1" x14ac:dyDescent="0.2">
      <c r="A905" s="189" t="s">
        <v>1807</v>
      </c>
      <c r="B905" s="150" t="s">
        <v>1808</v>
      </c>
      <c r="C905" s="44" t="s">
        <v>1807</v>
      </c>
      <c r="D905" s="263">
        <v>0</v>
      </c>
      <c r="E905" s="263">
        <v>0</v>
      </c>
      <c r="F905" s="190" t="str">
        <f t="shared" ref="F905:F968" si="17">IF(D905&lt;&gt;0,IF(E905/D905&gt;=100,"&gt;&gt;100",E905/D905*100),"-")</f>
        <v>-</v>
      </c>
    </row>
    <row r="906" spans="1:6" customFormat="1" ht="12.75" customHeight="1" x14ac:dyDescent="0.2">
      <c r="A906" s="189" t="s">
        <v>1809</v>
      </c>
      <c r="B906" s="150" t="s">
        <v>1810</v>
      </c>
      <c r="C906" s="44" t="s">
        <v>1809</v>
      </c>
      <c r="D906" s="263">
        <v>0</v>
      </c>
      <c r="E906" s="263">
        <v>0</v>
      </c>
      <c r="F906" s="190" t="str">
        <f t="shared" si="17"/>
        <v>-</v>
      </c>
    </row>
    <row r="907" spans="1:6" customFormat="1" ht="12.75" customHeight="1" x14ac:dyDescent="0.2">
      <c r="A907" s="189" t="s">
        <v>1811</v>
      </c>
      <c r="B907" s="150" t="s">
        <v>1812</v>
      </c>
      <c r="C907" s="44" t="s">
        <v>1811</v>
      </c>
      <c r="D907" s="263">
        <v>0</v>
      </c>
      <c r="E907" s="263">
        <v>0</v>
      </c>
      <c r="F907" s="190" t="str">
        <f t="shared" si="17"/>
        <v>-</v>
      </c>
    </row>
    <row r="908" spans="1:6" customFormat="1" ht="12.75" customHeight="1" x14ac:dyDescent="0.2">
      <c r="A908" s="189" t="s">
        <v>1813</v>
      </c>
      <c r="B908" s="150" t="s">
        <v>1814</v>
      </c>
      <c r="C908" s="44" t="s">
        <v>1813</v>
      </c>
      <c r="D908" s="263">
        <v>0</v>
      </c>
      <c r="E908" s="263">
        <v>0</v>
      </c>
      <c r="F908" s="190" t="str">
        <f t="shared" si="17"/>
        <v>-</v>
      </c>
    </row>
    <row r="909" spans="1:6" customFormat="1" ht="12.75" customHeight="1" x14ac:dyDescent="0.2">
      <c r="A909" s="189" t="s">
        <v>1815</v>
      </c>
      <c r="B909" s="150" t="s">
        <v>1816</v>
      </c>
      <c r="C909" s="44" t="s">
        <v>1815</v>
      </c>
      <c r="D909" s="263">
        <v>0</v>
      </c>
      <c r="E909" s="263">
        <v>0</v>
      </c>
      <c r="F909" s="190" t="str">
        <f t="shared" si="17"/>
        <v>-</v>
      </c>
    </row>
    <row r="910" spans="1:6" customFormat="1" ht="24" customHeight="1" x14ac:dyDescent="0.2">
      <c r="A910" s="189" t="s">
        <v>1817</v>
      </c>
      <c r="B910" s="195" t="s">
        <v>1818</v>
      </c>
      <c r="C910" s="44" t="s">
        <v>1817</v>
      </c>
      <c r="D910" s="263">
        <v>0</v>
      </c>
      <c r="E910" s="263">
        <v>0</v>
      </c>
      <c r="F910" s="190" t="str">
        <f t="shared" si="17"/>
        <v>-</v>
      </c>
    </row>
    <row r="911" spans="1:6" customFormat="1" ht="24" customHeight="1" x14ac:dyDescent="0.2">
      <c r="A911" s="189" t="s">
        <v>1819</v>
      </c>
      <c r="B911" s="195" t="s">
        <v>1820</v>
      </c>
      <c r="C911" s="44" t="s">
        <v>1819</v>
      </c>
      <c r="D911" s="263">
        <v>0</v>
      </c>
      <c r="E911" s="263">
        <v>0</v>
      </c>
      <c r="F911" s="190" t="str">
        <f t="shared" si="17"/>
        <v>-</v>
      </c>
    </row>
    <row r="912" spans="1:6" customFormat="1" ht="24" customHeight="1" x14ac:dyDescent="0.2">
      <c r="A912" s="189" t="s">
        <v>1821</v>
      </c>
      <c r="B912" s="150" t="s">
        <v>1822</v>
      </c>
      <c r="C912" s="44" t="s">
        <v>1821</v>
      </c>
      <c r="D912" s="263">
        <v>0</v>
      </c>
      <c r="E912" s="263">
        <v>0</v>
      </c>
      <c r="F912" s="190" t="str">
        <f t="shared" si="17"/>
        <v>-</v>
      </c>
    </row>
    <row r="913" spans="1:6" customFormat="1" ht="24" customHeight="1" x14ac:dyDescent="0.2">
      <c r="A913" s="189" t="s">
        <v>1823</v>
      </c>
      <c r="B913" s="150" t="s">
        <v>1824</v>
      </c>
      <c r="C913" s="44" t="s">
        <v>1823</v>
      </c>
      <c r="D913" s="263">
        <v>0</v>
      </c>
      <c r="E913" s="263">
        <v>0</v>
      </c>
      <c r="F913" s="190" t="str">
        <f t="shared" si="17"/>
        <v>-</v>
      </c>
    </row>
    <row r="914" spans="1:6" customFormat="1" ht="12.75" customHeight="1" x14ac:dyDescent="0.2">
      <c r="A914" s="189" t="s">
        <v>1825</v>
      </c>
      <c r="B914" s="150" t="s">
        <v>1826</v>
      </c>
      <c r="C914" s="44" t="s">
        <v>1825</v>
      </c>
      <c r="D914" s="263">
        <v>0</v>
      </c>
      <c r="E914" s="263">
        <v>0</v>
      </c>
      <c r="F914" s="190" t="str">
        <f t="shared" si="17"/>
        <v>-</v>
      </c>
    </row>
    <row r="915" spans="1:6" customFormat="1" ht="24" customHeight="1" x14ac:dyDescent="0.2">
      <c r="A915" s="189" t="s">
        <v>1827</v>
      </c>
      <c r="B915" s="195" t="s">
        <v>1828</v>
      </c>
      <c r="C915" s="44" t="s">
        <v>1827</v>
      </c>
      <c r="D915" s="263">
        <v>0</v>
      </c>
      <c r="E915" s="263">
        <v>0</v>
      </c>
      <c r="F915" s="190" t="str">
        <f t="shared" si="17"/>
        <v>-</v>
      </c>
    </row>
    <row r="916" spans="1:6" customFormat="1" ht="12.75" customHeight="1" x14ac:dyDescent="0.2">
      <c r="A916" s="189" t="s">
        <v>1829</v>
      </c>
      <c r="B916" s="150" t="s">
        <v>1830</v>
      </c>
      <c r="C916" s="44" t="s">
        <v>1829</v>
      </c>
      <c r="D916" s="263">
        <v>0</v>
      </c>
      <c r="E916" s="263">
        <v>0</v>
      </c>
      <c r="F916" s="190" t="str">
        <f t="shared" si="17"/>
        <v>-</v>
      </c>
    </row>
    <row r="917" spans="1:6" customFormat="1" ht="12.75" customHeight="1" x14ac:dyDescent="0.2">
      <c r="A917" s="189" t="s">
        <v>1831</v>
      </c>
      <c r="B917" s="150" t="s">
        <v>1832</v>
      </c>
      <c r="C917" s="44" t="s">
        <v>1831</v>
      </c>
      <c r="D917" s="263">
        <v>0</v>
      </c>
      <c r="E917" s="263">
        <v>0</v>
      </c>
      <c r="F917" s="190" t="str">
        <f t="shared" si="17"/>
        <v>-</v>
      </c>
    </row>
    <row r="918" spans="1:6" customFormat="1" ht="24" customHeight="1" x14ac:dyDescent="0.2">
      <c r="A918" s="189" t="s">
        <v>1833</v>
      </c>
      <c r="B918" s="150" t="s">
        <v>1834</v>
      </c>
      <c r="C918" s="44" t="s">
        <v>1833</v>
      </c>
      <c r="D918" s="263">
        <v>0</v>
      </c>
      <c r="E918" s="263">
        <v>0</v>
      </c>
      <c r="F918" s="190" t="str">
        <f t="shared" si="17"/>
        <v>-</v>
      </c>
    </row>
    <row r="919" spans="1:6" customFormat="1" ht="12.75" customHeight="1" x14ac:dyDescent="0.2">
      <c r="A919" s="189" t="s">
        <v>1835</v>
      </c>
      <c r="B919" s="150" t="s">
        <v>1836</v>
      </c>
      <c r="C919" s="44" t="s">
        <v>1835</v>
      </c>
      <c r="D919" s="263">
        <v>0</v>
      </c>
      <c r="E919" s="263">
        <v>0</v>
      </c>
      <c r="F919" s="190" t="str">
        <f t="shared" si="17"/>
        <v>-</v>
      </c>
    </row>
    <row r="920" spans="1:6" customFormat="1" ht="12.75" customHeight="1" x14ac:dyDescent="0.2">
      <c r="A920" s="189" t="s">
        <v>1837</v>
      </c>
      <c r="B920" s="150" t="s">
        <v>1838</v>
      </c>
      <c r="C920" s="44" t="s">
        <v>1837</v>
      </c>
      <c r="D920" s="263">
        <v>0</v>
      </c>
      <c r="E920" s="263">
        <v>0</v>
      </c>
      <c r="F920" s="190" t="str">
        <f t="shared" si="17"/>
        <v>-</v>
      </c>
    </row>
    <row r="921" spans="1:6" customFormat="1" ht="24" customHeight="1" x14ac:dyDescent="0.2">
      <c r="A921" s="189" t="s">
        <v>1839</v>
      </c>
      <c r="B921" s="150" t="s">
        <v>1840</v>
      </c>
      <c r="C921" s="44" t="s">
        <v>1839</v>
      </c>
      <c r="D921" s="263">
        <v>0</v>
      </c>
      <c r="E921" s="263">
        <v>0</v>
      </c>
      <c r="F921" s="190" t="str">
        <f t="shared" si="17"/>
        <v>-</v>
      </c>
    </row>
    <row r="922" spans="1:6" customFormat="1" ht="24" customHeight="1" x14ac:dyDescent="0.2">
      <c r="A922" s="189" t="s">
        <v>1841</v>
      </c>
      <c r="B922" s="150" t="s">
        <v>1842</v>
      </c>
      <c r="C922" s="44" t="s">
        <v>1841</v>
      </c>
      <c r="D922" s="263">
        <v>0</v>
      </c>
      <c r="E922" s="263">
        <v>0</v>
      </c>
      <c r="F922" s="190" t="str">
        <f t="shared" si="17"/>
        <v>-</v>
      </c>
    </row>
    <row r="923" spans="1:6" customFormat="1" ht="24" customHeight="1" x14ac:dyDescent="0.2">
      <c r="A923" s="189" t="s">
        <v>1843</v>
      </c>
      <c r="B923" s="195" t="s">
        <v>1844</v>
      </c>
      <c r="C923" s="44" t="s">
        <v>1843</v>
      </c>
      <c r="D923" s="263">
        <v>0</v>
      </c>
      <c r="E923" s="263">
        <v>0</v>
      </c>
      <c r="F923" s="190" t="str">
        <f t="shared" si="17"/>
        <v>-</v>
      </c>
    </row>
    <row r="924" spans="1:6" customFormat="1" ht="24" customHeight="1" x14ac:dyDescent="0.2">
      <c r="A924" s="189" t="s">
        <v>1845</v>
      </c>
      <c r="B924" s="150" t="s">
        <v>1846</v>
      </c>
      <c r="C924" s="44" t="s">
        <v>1845</v>
      </c>
      <c r="D924" s="263">
        <v>0</v>
      </c>
      <c r="E924" s="263">
        <v>0</v>
      </c>
      <c r="F924" s="190" t="str">
        <f t="shared" si="17"/>
        <v>-</v>
      </c>
    </row>
    <row r="925" spans="1:6" customFormat="1" ht="24" customHeight="1" x14ac:dyDescent="0.2">
      <c r="A925" s="189" t="s">
        <v>1847</v>
      </c>
      <c r="B925" s="150" t="s">
        <v>1848</v>
      </c>
      <c r="C925" s="44" t="s">
        <v>1847</v>
      </c>
      <c r="D925" s="263">
        <v>0</v>
      </c>
      <c r="E925" s="263">
        <v>0</v>
      </c>
      <c r="F925" s="190" t="str">
        <f t="shared" si="17"/>
        <v>-</v>
      </c>
    </row>
    <row r="926" spans="1:6" customFormat="1" ht="12.75" customHeight="1" x14ac:dyDescent="0.2">
      <c r="A926" s="189" t="s">
        <v>1849</v>
      </c>
      <c r="B926" s="150" t="s">
        <v>1850</v>
      </c>
      <c r="C926" s="44" t="s">
        <v>1849</v>
      </c>
      <c r="D926" s="263">
        <v>0</v>
      </c>
      <c r="E926" s="263">
        <v>0</v>
      </c>
      <c r="F926" s="190" t="str">
        <f t="shared" si="17"/>
        <v>-</v>
      </c>
    </row>
    <row r="927" spans="1:6" customFormat="1" ht="12.75" customHeight="1" x14ac:dyDescent="0.2">
      <c r="A927" s="189" t="s">
        <v>1851</v>
      </c>
      <c r="B927" s="150" t="s">
        <v>1852</v>
      </c>
      <c r="C927" s="44" t="s">
        <v>1851</v>
      </c>
      <c r="D927" s="263">
        <v>0</v>
      </c>
      <c r="E927" s="263">
        <v>0</v>
      </c>
      <c r="F927" s="190" t="str">
        <f t="shared" si="17"/>
        <v>-</v>
      </c>
    </row>
    <row r="928" spans="1:6" customFormat="1" ht="12.75" customHeight="1" x14ac:dyDescent="0.2">
      <c r="A928" s="189" t="s">
        <v>1853</v>
      </c>
      <c r="B928" s="150" t="s">
        <v>1854</v>
      </c>
      <c r="C928" s="44" t="s">
        <v>1853</v>
      </c>
      <c r="D928" s="263">
        <v>0</v>
      </c>
      <c r="E928" s="263">
        <v>0</v>
      </c>
      <c r="F928" s="190" t="str">
        <f t="shared" si="17"/>
        <v>-</v>
      </c>
    </row>
    <row r="929" spans="1:6" customFormat="1" ht="12.75" customHeight="1" x14ac:dyDescent="0.2">
      <c r="A929" s="189" t="s">
        <v>1855</v>
      </c>
      <c r="B929" s="150" t="s">
        <v>1856</v>
      </c>
      <c r="C929" s="44" t="s">
        <v>1855</v>
      </c>
      <c r="D929" s="263">
        <v>0</v>
      </c>
      <c r="E929" s="263">
        <v>0</v>
      </c>
      <c r="F929" s="190" t="str">
        <f t="shared" si="17"/>
        <v>-</v>
      </c>
    </row>
    <row r="930" spans="1:6" customFormat="1" ht="12.75" customHeight="1" x14ac:dyDescent="0.2">
      <c r="A930" s="189" t="s">
        <v>1857</v>
      </c>
      <c r="B930" s="150" t="s">
        <v>1858</v>
      </c>
      <c r="C930" s="44" t="s">
        <v>1857</v>
      </c>
      <c r="D930" s="263">
        <v>0</v>
      </c>
      <c r="E930" s="263">
        <v>0</v>
      </c>
      <c r="F930" s="190" t="str">
        <f t="shared" si="17"/>
        <v>-</v>
      </c>
    </row>
    <row r="931" spans="1:6" customFormat="1" ht="12.75" customHeight="1" x14ac:dyDescent="0.2">
      <c r="A931" s="189" t="s">
        <v>1859</v>
      </c>
      <c r="B931" s="150" t="s">
        <v>1860</v>
      </c>
      <c r="C931" s="44" t="s">
        <v>1859</v>
      </c>
      <c r="D931" s="263">
        <v>0</v>
      </c>
      <c r="E931" s="263">
        <v>0</v>
      </c>
      <c r="F931" s="190" t="str">
        <f t="shared" si="17"/>
        <v>-</v>
      </c>
    </row>
    <row r="932" spans="1:6" customFormat="1" ht="12.75" customHeight="1" x14ac:dyDescent="0.2">
      <c r="A932" s="189" t="s">
        <v>1861</v>
      </c>
      <c r="B932" s="150" t="s">
        <v>1862</v>
      </c>
      <c r="C932" s="44" t="s">
        <v>1861</v>
      </c>
      <c r="D932" s="263">
        <v>0</v>
      </c>
      <c r="E932" s="263">
        <v>0</v>
      </c>
      <c r="F932" s="190" t="str">
        <f t="shared" si="17"/>
        <v>-</v>
      </c>
    </row>
    <row r="933" spans="1:6" customFormat="1" ht="12.75" customHeight="1" x14ac:dyDescent="0.2">
      <c r="A933" s="189" t="s">
        <v>1863</v>
      </c>
      <c r="B933" s="150" t="s">
        <v>1864</v>
      </c>
      <c r="C933" s="44" t="s">
        <v>1863</v>
      </c>
      <c r="D933" s="263">
        <v>0</v>
      </c>
      <c r="E933" s="263">
        <v>0</v>
      </c>
      <c r="F933" s="190" t="str">
        <f t="shared" si="17"/>
        <v>-</v>
      </c>
    </row>
    <row r="934" spans="1:6" customFormat="1" ht="12.75" customHeight="1" x14ac:dyDescent="0.2">
      <c r="A934" s="189" t="s">
        <v>1865</v>
      </c>
      <c r="B934" s="150" t="s">
        <v>1866</v>
      </c>
      <c r="C934" s="44" t="s">
        <v>1865</v>
      </c>
      <c r="D934" s="263">
        <v>0</v>
      </c>
      <c r="E934" s="263">
        <v>0</v>
      </c>
      <c r="F934" s="190" t="str">
        <f t="shared" si="17"/>
        <v>-</v>
      </c>
    </row>
    <row r="935" spans="1:6" customFormat="1" ht="12.75" customHeight="1" x14ac:dyDescent="0.2">
      <c r="A935" s="189" t="s">
        <v>1867</v>
      </c>
      <c r="B935" s="150" t="s">
        <v>1868</v>
      </c>
      <c r="C935" s="44" t="s">
        <v>1867</v>
      </c>
      <c r="D935" s="263">
        <v>0</v>
      </c>
      <c r="E935" s="263">
        <v>0</v>
      </c>
      <c r="F935" s="190" t="str">
        <f t="shared" si="17"/>
        <v>-</v>
      </c>
    </row>
    <row r="936" spans="1:6" customFormat="1" ht="12.75" customHeight="1" x14ac:dyDescent="0.2">
      <c r="A936" s="189" t="s">
        <v>1869</v>
      </c>
      <c r="B936" s="150" t="s">
        <v>1870</v>
      </c>
      <c r="C936" s="44" t="s">
        <v>1869</v>
      </c>
      <c r="D936" s="263">
        <v>0</v>
      </c>
      <c r="E936" s="263">
        <v>0</v>
      </c>
      <c r="F936" s="190" t="str">
        <f t="shared" si="17"/>
        <v>-</v>
      </c>
    </row>
    <row r="937" spans="1:6" customFormat="1" ht="12.75" customHeight="1" x14ac:dyDescent="0.2">
      <c r="A937" s="189" t="s">
        <v>1871</v>
      </c>
      <c r="B937" s="150" t="s">
        <v>1872</v>
      </c>
      <c r="C937" s="44" t="s">
        <v>1871</v>
      </c>
      <c r="D937" s="263">
        <v>0</v>
      </c>
      <c r="E937" s="263">
        <v>0</v>
      </c>
      <c r="F937" s="190" t="str">
        <f t="shared" si="17"/>
        <v>-</v>
      </c>
    </row>
    <row r="938" spans="1:6" customFormat="1" ht="24" customHeight="1" x14ac:dyDescent="0.2">
      <c r="A938" s="189" t="s">
        <v>1873</v>
      </c>
      <c r="B938" s="150" t="s">
        <v>1874</v>
      </c>
      <c r="C938" s="44" t="s">
        <v>1873</v>
      </c>
      <c r="D938" s="263">
        <v>0</v>
      </c>
      <c r="E938" s="263">
        <v>0</v>
      </c>
      <c r="F938" s="190" t="str">
        <f t="shared" si="17"/>
        <v>-</v>
      </c>
    </row>
    <row r="939" spans="1:6" customFormat="1" ht="24" customHeight="1" x14ac:dyDescent="0.2">
      <c r="A939" s="189" t="s">
        <v>1875</v>
      </c>
      <c r="B939" s="150" t="s">
        <v>1876</v>
      </c>
      <c r="C939" s="44" t="s">
        <v>1875</v>
      </c>
      <c r="D939" s="263">
        <v>0</v>
      </c>
      <c r="E939" s="263">
        <v>0</v>
      </c>
      <c r="F939" s="190" t="str">
        <f t="shared" si="17"/>
        <v>-</v>
      </c>
    </row>
    <row r="940" spans="1:6" customFormat="1" ht="24" customHeight="1" x14ac:dyDescent="0.2">
      <c r="A940" s="189" t="s">
        <v>1877</v>
      </c>
      <c r="B940" s="150" t="s">
        <v>1878</v>
      </c>
      <c r="C940" s="44" t="s">
        <v>1877</v>
      </c>
      <c r="D940" s="263">
        <v>0</v>
      </c>
      <c r="E940" s="263">
        <v>0</v>
      </c>
      <c r="F940" s="190" t="str">
        <f t="shared" si="17"/>
        <v>-</v>
      </c>
    </row>
    <row r="941" spans="1:6" customFormat="1" ht="24" customHeight="1" x14ac:dyDescent="0.2">
      <c r="A941" s="189" t="s">
        <v>1879</v>
      </c>
      <c r="B941" s="150" t="s">
        <v>1880</v>
      </c>
      <c r="C941" s="44" t="s">
        <v>1879</v>
      </c>
      <c r="D941" s="263">
        <v>0</v>
      </c>
      <c r="E941" s="263">
        <v>0</v>
      </c>
      <c r="F941" s="190" t="str">
        <f t="shared" si="17"/>
        <v>-</v>
      </c>
    </row>
    <row r="942" spans="1:6" customFormat="1" ht="24" customHeight="1" x14ac:dyDescent="0.2">
      <c r="A942" s="189" t="s">
        <v>1881</v>
      </c>
      <c r="B942" s="150" t="s">
        <v>1882</v>
      </c>
      <c r="C942" s="44" t="s">
        <v>1881</v>
      </c>
      <c r="D942" s="263">
        <v>0</v>
      </c>
      <c r="E942" s="263">
        <v>0</v>
      </c>
      <c r="F942" s="190" t="str">
        <f t="shared" si="17"/>
        <v>-</v>
      </c>
    </row>
    <row r="943" spans="1:6" customFormat="1" ht="24" customHeight="1" x14ac:dyDescent="0.2">
      <c r="A943" s="189" t="s">
        <v>1883</v>
      </c>
      <c r="B943" s="150" t="s">
        <v>1884</v>
      </c>
      <c r="C943" s="44" t="s">
        <v>1883</v>
      </c>
      <c r="D943" s="263">
        <v>0</v>
      </c>
      <c r="E943" s="263">
        <v>0</v>
      </c>
      <c r="F943" s="190" t="str">
        <f t="shared" si="17"/>
        <v>-</v>
      </c>
    </row>
    <row r="944" spans="1:6" customFormat="1" ht="12.75" customHeight="1" x14ac:dyDescent="0.2">
      <c r="A944" s="189" t="s">
        <v>1885</v>
      </c>
      <c r="B944" s="150" t="s">
        <v>1886</v>
      </c>
      <c r="C944" s="44" t="s">
        <v>1885</v>
      </c>
      <c r="D944" s="263">
        <v>0</v>
      </c>
      <c r="E944" s="263">
        <v>0</v>
      </c>
      <c r="F944" s="190" t="str">
        <f t="shared" si="17"/>
        <v>-</v>
      </c>
    </row>
    <row r="945" spans="1:6" customFormat="1" ht="24" customHeight="1" x14ac:dyDescent="0.2">
      <c r="A945" s="189" t="s">
        <v>1887</v>
      </c>
      <c r="B945" s="150" t="s">
        <v>1888</v>
      </c>
      <c r="C945" s="44" t="s">
        <v>1887</v>
      </c>
      <c r="D945" s="263">
        <v>0</v>
      </c>
      <c r="E945" s="263">
        <v>0</v>
      </c>
      <c r="F945" s="190" t="str">
        <f t="shared" si="17"/>
        <v>-</v>
      </c>
    </row>
    <row r="946" spans="1:6" customFormat="1" ht="24" customHeight="1" x14ac:dyDescent="0.2">
      <c r="A946" s="189" t="s">
        <v>1889</v>
      </c>
      <c r="B946" s="195" t="s">
        <v>1890</v>
      </c>
      <c r="C946" s="44" t="s">
        <v>1889</v>
      </c>
      <c r="D946" s="263">
        <v>0</v>
      </c>
      <c r="E946" s="263">
        <v>0</v>
      </c>
      <c r="F946" s="190" t="str">
        <f t="shared" si="17"/>
        <v>-</v>
      </c>
    </row>
    <row r="947" spans="1:6" customFormat="1" ht="24" customHeight="1" x14ac:dyDescent="0.2">
      <c r="A947" s="189" t="s">
        <v>1891</v>
      </c>
      <c r="B947" s="195" t="s">
        <v>1892</v>
      </c>
      <c r="C947" s="44" t="s">
        <v>1891</v>
      </c>
      <c r="D947" s="263">
        <v>0</v>
      </c>
      <c r="E947" s="263">
        <v>0</v>
      </c>
      <c r="F947" s="190" t="str">
        <f t="shared" si="17"/>
        <v>-</v>
      </c>
    </row>
    <row r="948" spans="1:6" customFormat="1" ht="24" customHeight="1" x14ac:dyDescent="0.2">
      <c r="A948" s="189" t="s">
        <v>1893</v>
      </c>
      <c r="B948" s="150" t="s">
        <v>1894</v>
      </c>
      <c r="C948" s="44" t="s">
        <v>1893</v>
      </c>
      <c r="D948" s="263">
        <v>0</v>
      </c>
      <c r="E948" s="263">
        <v>0</v>
      </c>
      <c r="F948" s="190" t="str">
        <f t="shared" si="17"/>
        <v>-</v>
      </c>
    </row>
    <row r="949" spans="1:6" customFormat="1" ht="24" customHeight="1" x14ac:dyDescent="0.2">
      <c r="A949" s="189" t="s">
        <v>1895</v>
      </c>
      <c r="B949" s="195" t="s">
        <v>1896</v>
      </c>
      <c r="C949" s="44" t="s">
        <v>1895</v>
      </c>
      <c r="D949" s="263">
        <v>0</v>
      </c>
      <c r="E949" s="263">
        <v>0</v>
      </c>
      <c r="F949" s="190" t="str">
        <f t="shared" si="17"/>
        <v>-</v>
      </c>
    </row>
    <row r="950" spans="1:6" customFormat="1" ht="24" customHeight="1" x14ac:dyDescent="0.2">
      <c r="A950" s="189" t="s">
        <v>1897</v>
      </c>
      <c r="B950" s="150" t="s">
        <v>1898</v>
      </c>
      <c r="C950" s="44" t="s">
        <v>1897</v>
      </c>
      <c r="D950" s="263">
        <v>0</v>
      </c>
      <c r="E950" s="263">
        <v>0</v>
      </c>
      <c r="F950" s="190" t="str">
        <f t="shared" si="17"/>
        <v>-</v>
      </c>
    </row>
    <row r="951" spans="1:6" customFormat="1" ht="24" customHeight="1" x14ac:dyDescent="0.2">
      <c r="A951" s="189" t="s">
        <v>1899</v>
      </c>
      <c r="B951" s="150" t="s">
        <v>1900</v>
      </c>
      <c r="C951" s="44" t="s">
        <v>1899</v>
      </c>
      <c r="D951" s="263">
        <v>0</v>
      </c>
      <c r="E951" s="263">
        <v>0</v>
      </c>
      <c r="F951" s="190" t="str">
        <f t="shared" si="17"/>
        <v>-</v>
      </c>
    </row>
    <row r="952" spans="1:6" customFormat="1" ht="24" customHeight="1" x14ac:dyDescent="0.2">
      <c r="A952" s="189" t="s">
        <v>1901</v>
      </c>
      <c r="B952" s="195" t="s">
        <v>1902</v>
      </c>
      <c r="C952" s="44" t="s">
        <v>1901</v>
      </c>
      <c r="D952" s="263">
        <v>0</v>
      </c>
      <c r="E952" s="263">
        <v>0</v>
      </c>
      <c r="F952" s="190" t="str">
        <f t="shared" si="17"/>
        <v>-</v>
      </c>
    </row>
    <row r="953" spans="1:6" customFormat="1" ht="24" customHeight="1" x14ac:dyDescent="0.2">
      <c r="A953" s="189" t="s">
        <v>1903</v>
      </c>
      <c r="B953" s="150" t="s">
        <v>1904</v>
      </c>
      <c r="C953" s="44" t="s">
        <v>1903</v>
      </c>
      <c r="D953" s="263">
        <v>0</v>
      </c>
      <c r="E953" s="263">
        <v>0</v>
      </c>
      <c r="F953" s="190" t="str">
        <f t="shared" si="17"/>
        <v>-</v>
      </c>
    </row>
    <row r="954" spans="1:6" customFormat="1" ht="24" customHeight="1" x14ac:dyDescent="0.2">
      <c r="A954" s="189" t="s">
        <v>1905</v>
      </c>
      <c r="B954" s="150" t="s">
        <v>1906</v>
      </c>
      <c r="C954" s="44" t="s">
        <v>1905</v>
      </c>
      <c r="D954" s="263">
        <v>0</v>
      </c>
      <c r="E954" s="263">
        <v>0</v>
      </c>
      <c r="F954" s="190" t="str">
        <f t="shared" si="17"/>
        <v>-</v>
      </c>
    </row>
    <row r="955" spans="1:6" customFormat="1" ht="24" customHeight="1" x14ac:dyDescent="0.2">
      <c r="A955" s="189" t="s">
        <v>1907</v>
      </c>
      <c r="B955" s="150" t="s">
        <v>1908</v>
      </c>
      <c r="C955" s="44" t="s">
        <v>1907</v>
      </c>
      <c r="D955" s="263">
        <v>0</v>
      </c>
      <c r="E955" s="263">
        <v>0</v>
      </c>
      <c r="F955" s="190" t="str">
        <f t="shared" si="17"/>
        <v>-</v>
      </c>
    </row>
    <row r="956" spans="1:6" customFormat="1" ht="24" customHeight="1" x14ac:dyDescent="0.2">
      <c r="A956" s="189" t="s">
        <v>1909</v>
      </c>
      <c r="B956" s="150" t="s">
        <v>1910</v>
      </c>
      <c r="C956" s="44" t="s">
        <v>1909</v>
      </c>
      <c r="D956" s="263">
        <v>0</v>
      </c>
      <c r="E956" s="263">
        <v>0</v>
      </c>
      <c r="F956" s="190" t="str">
        <f t="shared" si="17"/>
        <v>-</v>
      </c>
    </row>
    <row r="957" spans="1:6" customFormat="1" ht="24" customHeight="1" x14ac:dyDescent="0.2">
      <c r="A957" s="189" t="s">
        <v>1911</v>
      </c>
      <c r="B957" s="150" t="s">
        <v>1912</v>
      </c>
      <c r="C957" s="44" t="s">
        <v>1911</v>
      </c>
      <c r="D957" s="263">
        <v>0</v>
      </c>
      <c r="E957" s="263">
        <v>0</v>
      </c>
      <c r="F957" s="190" t="str">
        <f t="shared" si="17"/>
        <v>-</v>
      </c>
    </row>
    <row r="958" spans="1:6" customFormat="1" ht="24" customHeight="1" x14ac:dyDescent="0.2">
      <c r="A958" s="189" t="s">
        <v>1913</v>
      </c>
      <c r="B958" s="150" t="s">
        <v>1914</v>
      </c>
      <c r="C958" s="44" t="s">
        <v>1913</v>
      </c>
      <c r="D958" s="263">
        <v>0</v>
      </c>
      <c r="E958" s="263">
        <v>0</v>
      </c>
      <c r="F958" s="190" t="str">
        <f t="shared" si="17"/>
        <v>-</v>
      </c>
    </row>
    <row r="959" spans="1:6" customFormat="1" ht="24" customHeight="1" x14ac:dyDescent="0.2">
      <c r="A959" s="189" t="s">
        <v>1915</v>
      </c>
      <c r="B959" s="150" t="s">
        <v>1916</v>
      </c>
      <c r="C959" s="44" t="s">
        <v>1915</v>
      </c>
      <c r="D959" s="263">
        <v>0</v>
      </c>
      <c r="E959" s="263">
        <v>0</v>
      </c>
      <c r="F959" s="190" t="str">
        <f t="shared" si="17"/>
        <v>-</v>
      </c>
    </row>
    <row r="960" spans="1:6" customFormat="1" ht="24" customHeight="1" x14ac:dyDescent="0.2">
      <c r="A960" s="189" t="s">
        <v>1917</v>
      </c>
      <c r="B960" s="150" t="s">
        <v>1918</v>
      </c>
      <c r="C960" s="44" t="s">
        <v>1917</v>
      </c>
      <c r="D960" s="263">
        <v>0</v>
      </c>
      <c r="E960" s="263">
        <v>0</v>
      </c>
      <c r="F960" s="190" t="str">
        <f t="shared" si="17"/>
        <v>-</v>
      </c>
    </row>
    <row r="961" spans="1:6" customFormat="1" ht="12.75" customHeight="1" x14ac:dyDescent="0.2">
      <c r="A961" s="189" t="s">
        <v>1919</v>
      </c>
      <c r="B961" s="150" t="s">
        <v>1920</v>
      </c>
      <c r="C961" s="44" t="s">
        <v>1919</v>
      </c>
      <c r="D961" s="263">
        <v>0</v>
      </c>
      <c r="E961" s="263">
        <v>0</v>
      </c>
      <c r="F961" s="190" t="str">
        <f t="shared" si="17"/>
        <v>-</v>
      </c>
    </row>
    <row r="962" spans="1:6" customFormat="1" ht="24" customHeight="1" x14ac:dyDescent="0.2">
      <c r="A962" s="189" t="s">
        <v>1921</v>
      </c>
      <c r="B962" s="195" t="s">
        <v>1922</v>
      </c>
      <c r="C962" s="44" t="s">
        <v>1921</v>
      </c>
      <c r="D962" s="263">
        <v>0</v>
      </c>
      <c r="E962" s="263">
        <v>0</v>
      </c>
      <c r="F962" s="190" t="str">
        <f t="shared" si="17"/>
        <v>-</v>
      </c>
    </row>
    <row r="963" spans="1:6" customFormat="1" ht="24" customHeight="1" x14ac:dyDescent="0.2">
      <c r="A963" s="189" t="s">
        <v>1923</v>
      </c>
      <c r="B963" s="195" t="s">
        <v>1924</v>
      </c>
      <c r="C963" s="44" t="s">
        <v>1923</v>
      </c>
      <c r="D963" s="263">
        <v>0</v>
      </c>
      <c r="E963" s="263">
        <v>0</v>
      </c>
      <c r="F963" s="190" t="str">
        <f t="shared" si="17"/>
        <v>-</v>
      </c>
    </row>
    <row r="964" spans="1:6" customFormat="1" ht="24" customHeight="1" x14ac:dyDescent="0.2">
      <c r="A964" s="189" t="s">
        <v>1925</v>
      </c>
      <c r="B964" s="195" t="s">
        <v>1926</v>
      </c>
      <c r="C964" s="44" t="s">
        <v>1925</v>
      </c>
      <c r="D964" s="263">
        <v>0</v>
      </c>
      <c r="E964" s="263">
        <v>0</v>
      </c>
      <c r="F964" s="190" t="str">
        <f t="shared" si="17"/>
        <v>-</v>
      </c>
    </row>
    <row r="965" spans="1:6" customFormat="1" ht="24" customHeight="1" x14ac:dyDescent="0.2">
      <c r="A965" s="189" t="s">
        <v>1927</v>
      </c>
      <c r="B965" s="150" t="s">
        <v>1928</v>
      </c>
      <c r="C965" s="44" t="s">
        <v>1927</v>
      </c>
      <c r="D965" s="263">
        <v>0</v>
      </c>
      <c r="E965" s="263">
        <v>0</v>
      </c>
      <c r="F965" s="190" t="str">
        <f t="shared" si="17"/>
        <v>-</v>
      </c>
    </row>
    <row r="966" spans="1:6" customFormat="1" ht="12.75" customHeight="1" x14ac:dyDescent="0.2">
      <c r="A966" s="189" t="s">
        <v>1929</v>
      </c>
      <c r="B966" s="150" t="s">
        <v>1930</v>
      </c>
      <c r="C966" s="44" t="s">
        <v>1929</v>
      </c>
      <c r="D966" s="263">
        <v>0</v>
      </c>
      <c r="E966" s="263">
        <v>0</v>
      </c>
      <c r="F966" s="190" t="str">
        <f t="shared" si="17"/>
        <v>-</v>
      </c>
    </row>
    <row r="967" spans="1:6" customFormat="1" ht="24" customHeight="1" x14ac:dyDescent="0.2">
      <c r="A967" s="189" t="s">
        <v>1931</v>
      </c>
      <c r="B967" s="150" t="s">
        <v>1932</v>
      </c>
      <c r="C967" s="44" t="s">
        <v>1931</v>
      </c>
      <c r="D967" s="263">
        <v>0</v>
      </c>
      <c r="E967" s="263">
        <v>0</v>
      </c>
      <c r="F967" s="190" t="str">
        <f t="shared" si="17"/>
        <v>-</v>
      </c>
    </row>
    <row r="968" spans="1:6" customFormat="1" ht="12.75" customHeight="1" x14ac:dyDescent="0.2">
      <c r="A968" s="189" t="s">
        <v>1933</v>
      </c>
      <c r="B968" s="150" t="s">
        <v>1934</v>
      </c>
      <c r="C968" s="44" t="s">
        <v>1933</v>
      </c>
      <c r="D968" s="263">
        <v>9794.7199999999993</v>
      </c>
      <c r="E968" s="263">
        <v>2720.72</v>
      </c>
      <c r="F968" s="190">
        <f t="shared" si="17"/>
        <v>27.77741477040691</v>
      </c>
    </row>
    <row r="969" spans="1:6" customFormat="1" ht="12.75" customHeight="1" x14ac:dyDescent="0.2">
      <c r="A969" s="189" t="s">
        <v>1935</v>
      </c>
      <c r="B969" s="150" t="s">
        <v>1936</v>
      </c>
      <c r="C969" s="44" t="s">
        <v>1935</v>
      </c>
      <c r="D969" s="263">
        <v>0</v>
      </c>
      <c r="E969" s="263">
        <v>0</v>
      </c>
      <c r="F969" s="190" t="str">
        <f t="shared" ref="F969:F982" si="18">IF(D969&lt;&gt;0,IF(E969/D969&gt;=100,"&gt;&gt;100",E969/D969*100),"-")</f>
        <v>-</v>
      </c>
    </row>
    <row r="970" spans="1:6" customFormat="1" ht="12.75" customHeight="1" x14ac:dyDescent="0.2">
      <c r="A970" s="189" t="s">
        <v>1937</v>
      </c>
      <c r="B970" s="150" t="s">
        <v>1938</v>
      </c>
      <c r="C970" s="44" t="s">
        <v>1937</v>
      </c>
      <c r="D970" s="263">
        <v>0</v>
      </c>
      <c r="E970" s="263">
        <v>0</v>
      </c>
      <c r="F970" s="190" t="str">
        <f t="shared" si="18"/>
        <v>-</v>
      </c>
    </row>
    <row r="971" spans="1:6" customFormat="1" ht="12.75" customHeight="1" x14ac:dyDescent="0.2">
      <c r="A971" s="189" t="s">
        <v>1939</v>
      </c>
      <c r="B971" s="150" t="s">
        <v>1940</v>
      </c>
      <c r="C971" s="44" t="s">
        <v>1939</v>
      </c>
      <c r="D971" s="263">
        <v>0</v>
      </c>
      <c r="E971" s="263">
        <v>0</v>
      </c>
      <c r="F971" s="190" t="str">
        <f t="shared" si="18"/>
        <v>-</v>
      </c>
    </row>
    <row r="972" spans="1:6" customFormat="1" ht="12.75" customHeight="1" x14ac:dyDescent="0.2">
      <c r="A972" s="189" t="s">
        <v>1941</v>
      </c>
      <c r="B972" s="150" t="s">
        <v>1942</v>
      </c>
      <c r="C972" s="44" t="s">
        <v>1941</v>
      </c>
      <c r="D972" s="263">
        <v>0</v>
      </c>
      <c r="E972" s="263">
        <v>0</v>
      </c>
      <c r="F972" s="190" t="str">
        <f t="shared" si="18"/>
        <v>-</v>
      </c>
    </row>
    <row r="973" spans="1:6" customFormat="1" ht="12.75" customHeight="1" x14ac:dyDescent="0.2">
      <c r="A973" s="189" t="s">
        <v>1943</v>
      </c>
      <c r="B973" s="150" t="s">
        <v>1944</v>
      </c>
      <c r="C973" s="44" t="s">
        <v>1943</v>
      </c>
      <c r="D973" s="263">
        <v>0</v>
      </c>
      <c r="E973" s="263">
        <v>0</v>
      </c>
      <c r="F973" s="190" t="str">
        <f t="shared" si="18"/>
        <v>-</v>
      </c>
    </row>
    <row r="974" spans="1:6" customFormat="1" ht="12.75" customHeight="1" x14ac:dyDescent="0.2">
      <c r="A974" s="189" t="s">
        <v>1945</v>
      </c>
      <c r="B974" s="150" t="s">
        <v>1946</v>
      </c>
      <c r="C974" s="44" t="s">
        <v>1945</v>
      </c>
      <c r="D974" s="263">
        <v>0</v>
      </c>
      <c r="E974" s="263">
        <v>0</v>
      </c>
      <c r="F974" s="190" t="str">
        <f t="shared" si="18"/>
        <v>-</v>
      </c>
    </row>
    <row r="975" spans="1:6" customFormat="1" ht="12.75" customHeight="1" x14ac:dyDescent="0.2">
      <c r="A975" s="189" t="s">
        <v>1947</v>
      </c>
      <c r="B975" s="150" t="s">
        <v>1948</v>
      </c>
      <c r="C975" s="44" t="s">
        <v>1947</v>
      </c>
      <c r="D975" s="263">
        <v>0</v>
      </c>
      <c r="E975" s="263">
        <v>0</v>
      </c>
      <c r="F975" s="190" t="str">
        <f t="shared" si="18"/>
        <v>-</v>
      </c>
    </row>
    <row r="976" spans="1:6" customFormat="1" ht="24" customHeight="1" x14ac:dyDescent="0.2">
      <c r="A976" s="189" t="s">
        <v>1949</v>
      </c>
      <c r="B976" s="150" t="s">
        <v>1950</v>
      </c>
      <c r="C976" s="44" t="s">
        <v>1949</v>
      </c>
      <c r="D976" s="263">
        <v>0</v>
      </c>
      <c r="E976" s="263">
        <v>0</v>
      </c>
      <c r="F976" s="190" t="str">
        <f t="shared" si="18"/>
        <v>-</v>
      </c>
    </row>
    <row r="977" spans="1:6" customFormat="1" ht="24" customHeight="1" x14ac:dyDescent="0.2">
      <c r="A977" s="189" t="s">
        <v>1951</v>
      </c>
      <c r="B977" s="150" t="s">
        <v>1952</v>
      </c>
      <c r="C977" s="44" t="s">
        <v>1951</v>
      </c>
      <c r="D977" s="263">
        <v>0</v>
      </c>
      <c r="E977" s="263">
        <v>0</v>
      </c>
      <c r="F977" s="190" t="str">
        <f t="shared" si="18"/>
        <v>-</v>
      </c>
    </row>
    <row r="978" spans="1:6" customFormat="1" ht="24" customHeight="1" x14ac:dyDescent="0.2">
      <c r="A978" s="189" t="s">
        <v>1953</v>
      </c>
      <c r="B978" s="150" t="s">
        <v>1954</v>
      </c>
      <c r="C978" s="44" t="s">
        <v>1953</v>
      </c>
      <c r="D978" s="263">
        <v>0</v>
      </c>
      <c r="E978" s="263">
        <v>0</v>
      </c>
      <c r="F978" s="190" t="str">
        <f t="shared" si="18"/>
        <v>-</v>
      </c>
    </row>
    <row r="979" spans="1:6" customFormat="1" ht="24" customHeight="1" x14ac:dyDescent="0.2">
      <c r="A979" s="189" t="s">
        <v>1955</v>
      </c>
      <c r="B979" s="150" t="s">
        <v>1956</v>
      </c>
      <c r="C979" s="44" t="s">
        <v>1955</v>
      </c>
      <c r="D979" s="263">
        <v>0</v>
      </c>
      <c r="E979" s="263">
        <v>0</v>
      </c>
      <c r="F979" s="190" t="str">
        <f t="shared" si="18"/>
        <v>-</v>
      </c>
    </row>
    <row r="980" spans="1:6" customFormat="1" ht="24" customHeight="1" x14ac:dyDescent="0.2">
      <c r="A980" s="189" t="s">
        <v>1957</v>
      </c>
      <c r="B980" s="150" t="s">
        <v>1958</v>
      </c>
      <c r="C980" s="44" t="s">
        <v>1957</v>
      </c>
      <c r="D980" s="263">
        <v>0</v>
      </c>
      <c r="E980" s="263">
        <v>0</v>
      </c>
      <c r="F980" s="190" t="str">
        <f t="shared" si="18"/>
        <v>-</v>
      </c>
    </row>
    <row r="981" spans="1:6" customFormat="1" ht="24" customHeight="1" x14ac:dyDescent="0.2">
      <c r="A981" s="189" t="s">
        <v>1959</v>
      </c>
      <c r="B981" s="150" t="s">
        <v>1960</v>
      </c>
      <c r="C981" s="44" t="s">
        <v>1959</v>
      </c>
      <c r="D981" s="263">
        <v>0</v>
      </c>
      <c r="E981" s="263">
        <v>0</v>
      </c>
      <c r="F981" s="190" t="str">
        <f t="shared" si="18"/>
        <v>-</v>
      </c>
    </row>
    <row r="982" spans="1:6" customFormat="1" ht="24" customHeight="1" x14ac:dyDescent="0.2">
      <c r="A982" s="198" t="s">
        <v>1961</v>
      </c>
      <c r="B982" s="199" t="s">
        <v>1962</v>
      </c>
      <c r="C982" s="45" t="s">
        <v>1961</v>
      </c>
      <c r="D982" s="264">
        <v>0</v>
      </c>
      <c r="E982" s="264">
        <v>0</v>
      </c>
      <c r="F982" s="200" t="str">
        <f t="shared" si="18"/>
        <v>-</v>
      </c>
    </row>
    <row r="983" spans="1:6" customFormat="1" ht="20.100000000000001" customHeight="1" x14ac:dyDescent="0.2">
      <c r="A983" s="323" t="s">
        <v>1963</v>
      </c>
      <c r="B983" s="324"/>
      <c r="C983" s="203"/>
      <c r="D983" s="204"/>
      <c r="E983" s="204"/>
      <c r="F983" s="205"/>
    </row>
    <row r="984" spans="1:6" customFormat="1" ht="39" customHeight="1" x14ac:dyDescent="0.2">
      <c r="A984" s="103" t="s">
        <v>1964</v>
      </c>
      <c r="B984" s="99" t="s">
        <v>41</v>
      </c>
      <c r="C984" s="116" t="s">
        <v>42</v>
      </c>
      <c r="D984" s="47" t="s">
        <v>1965</v>
      </c>
      <c r="E984" s="48" t="s">
        <v>1966</v>
      </c>
      <c r="F984" s="47" t="s">
        <v>55</v>
      </c>
    </row>
    <row r="985" spans="1:6" customFormat="1" ht="36" customHeight="1" x14ac:dyDescent="0.2">
      <c r="A985" s="206" t="s">
        <v>1967</v>
      </c>
      <c r="B985" s="207" t="s">
        <v>1968</v>
      </c>
      <c r="C985" s="49" t="s">
        <v>1969</v>
      </c>
      <c r="D985" s="267">
        <v>0</v>
      </c>
      <c r="E985" s="267">
        <v>0</v>
      </c>
      <c r="F985" s="208" t="str">
        <f t="shared" ref="F985:F992" si="19">IF(D985&lt;&gt;0,IF(E985/D985&gt;=100,"&gt;&gt;100",E985/D985*100),"-")</f>
        <v>-</v>
      </c>
    </row>
    <row r="986" spans="1:6" customFormat="1" ht="24" customHeight="1" x14ac:dyDescent="0.2">
      <c r="A986" s="189" t="s">
        <v>1970</v>
      </c>
      <c r="B986" s="150" t="s">
        <v>1971</v>
      </c>
      <c r="C986" s="44" t="s">
        <v>1970</v>
      </c>
      <c r="D986" s="268">
        <v>0</v>
      </c>
      <c r="E986" s="268">
        <v>0</v>
      </c>
      <c r="F986" s="190" t="str">
        <f t="shared" si="19"/>
        <v>-</v>
      </c>
    </row>
    <row r="987" spans="1:6" customFormat="1" ht="24" customHeight="1" x14ac:dyDescent="0.2">
      <c r="A987" s="189" t="s">
        <v>1972</v>
      </c>
      <c r="B987" s="150" t="s">
        <v>1973</v>
      </c>
      <c r="C987" s="44" t="s">
        <v>1972</v>
      </c>
      <c r="D987" s="268">
        <v>0</v>
      </c>
      <c r="E987" s="268">
        <v>0</v>
      </c>
      <c r="F987" s="190" t="str">
        <f t="shared" si="19"/>
        <v>-</v>
      </c>
    </row>
    <row r="988" spans="1:6" customFormat="1" ht="24" customHeight="1" x14ac:dyDescent="0.2">
      <c r="A988" s="189" t="s">
        <v>1974</v>
      </c>
      <c r="B988" s="150" t="s">
        <v>1975</v>
      </c>
      <c r="C988" s="44" t="s">
        <v>1974</v>
      </c>
      <c r="D988" s="268">
        <v>0</v>
      </c>
      <c r="E988" s="268">
        <v>0</v>
      </c>
      <c r="F988" s="190" t="str">
        <f t="shared" si="19"/>
        <v>-</v>
      </c>
    </row>
    <row r="989" spans="1:6" customFormat="1" ht="12.75" customHeight="1" x14ac:dyDescent="0.2">
      <c r="A989" s="189" t="s">
        <v>1976</v>
      </c>
      <c r="B989" s="150" t="s">
        <v>1977</v>
      </c>
      <c r="C989" s="44" t="s">
        <v>1976</v>
      </c>
      <c r="D989" s="268">
        <v>0</v>
      </c>
      <c r="E989" s="268">
        <v>0</v>
      </c>
      <c r="F989" s="190" t="str">
        <f t="shared" si="19"/>
        <v>-</v>
      </c>
    </row>
    <row r="990" spans="1:6" customFormat="1" ht="36" customHeight="1" x14ac:dyDescent="0.2">
      <c r="A990" s="189" t="s">
        <v>1978</v>
      </c>
      <c r="B990" s="150" t="s">
        <v>1979</v>
      </c>
      <c r="C990" s="44" t="s">
        <v>1980</v>
      </c>
      <c r="D990" s="268">
        <v>0</v>
      </c>
      <c r="E990" s="268">
        <v>0</v>
      </c>
      <c r="F990" s="190" t="str">
        <f t="shared" si="19"/>
        <v>-</v>
      </c>
    </row>
    <row r="991" spans="1:6" customFormat="1" ht="12.75" customHeight="1" x14ac:dyDescent="0.2">
      <c r="A991" s="189" t="s">
        <v>1981</v>
      </c>
      <c r="B991" s="150" t="s">
        <v>1982</v>
      </c>
      <c r="C991" s="44" t="s">
        <v>1981</v>
      </c>
      <c r="D991" s="268">
        <v>0</v>
      </c>
      <c r="E991" s="268">
        <v>0</v>
      </c>
      <c r="F991" s="190" t="str">
        <f t="shared" si="19"/>
        <v>-</v>
      </c>
    </row>
    <row r="992" spans="1:6" customFormat="1" ht="24" customHeight="1" x14ac:dyDescent="0.2">
      <c r="A992" s="198" t="s">
        <v>1983</v>
      </c>
      <c r="B992" s="199" t="s">
        <v>1984</v>
      </c>
      <c r="C992" s="45" t="s">
        <v>1983</v>
      </c>
      <c r="D992" s="269">
        <v>0</v>
      </c>
      <c r="E992" s="269">
        <v>0</v>
      </c>
      <c r="F992" s="200" t="str">
        <f t="shared" si="19"/>
        <v>-</v>
      </c>
    </row>
    <row r="993" spans="1:6" customFormat="1" ht="15" customHeight="1" x14ac:dyDescent="0.2">
      <c r="A993" s="104"/>
      <c r="B993" s="101"/>
      <c r="C993" s="117"/>
      <c r="D993" s="209"/>
      <c r="E993" s="209"/>
      <c r="F993" s="209"/>
    </row>
    <row r="994" spans="1:6" customFormat="1" ht="15" customHeight="1" x14ac:dyDescent="0.2">
      <c r="A994" s="104"/>
      <c r="B994" s="101"/>
      <c r="C994" s="117"/>
      <c r="D994" s="321"/>
      <c r="E994" s="322"/>
      <c r="F994" s="209"/>
    </row>
    <row r="995" spans="1:6" customFormat="1" ht="15" customHeight="1" x14ac:dyDescent="0.2">
      <c r="A995" s="104"/>
      <c r="B995" s="101"/>
      <c r="C995" s="117"/>
      <c r="D995" s="321"/>
      <c r="E995" s="322"/>
      <c r="F995" s="209"/>
    </row>
    <row r="996" spans="1:6" customFormat="1" ht="15" customHeight="1" x14ac:dyDescent="0.2">
      <c r="A996" s="104"/>
      <c r="B996" s="101"/>
      <c r="C996" s="117"/>
      <c r="D996" s="209"/>
      <c r="E996" s="209"/>
      <c r="F996" s="209"/>
    </row>
    <row r="997" spans="1:6" customFormat="1" ht="15" customHeight="1" x14ac:dyDescent="0.2">
      <c r="A997" s="104"/>
      <c r="B997" s="101"/>
      <c r="C997" s="117"/>
      <c r="D997" s="209"/>
      <c r="E997" s="209"/>
      <c r="F997" s="209"/>
    </row>
    <row r="998" spans="1:6" customFormat="1" ht="15" customHeight="1" x14ac:dyDescent="0.2">
      <c r="A998" s="104"/>
      <c r="B998" s="101"/>
      <c r="C998" s="117"/>
      <c r="D998" s="209"/>
      <c r="E998" s="209"/>
      <c r="F998" s="209"/>
    </row>
    <row r="999" spans="1:6" customFormat="1" ht="15" customHeight="1" x14ac:dyDescent="0.2">
      <c r="A999" s="104"/>
      <c r="B999" s="101"/>
      <c r="C999" s="117"/>
      <c r="D999" s="209"/>
      <c r="E999" s="209"/>
      <c r="F999" s="209"/>
    </row>
    <row r="1000" spans="1:6" customFormat="1" ht="15" customHeight="1" x14ac:dyDescent="0.2">
      <c r="A1000" s="104"/>
      <c r="B1000" s="101"/>
      <c r="C1000" s="117"/>
      <c r="D1000" s="209"/>
      <c r="E1000" s="209"/>
      <c r="F1000" s="209"/>
    </row>
    <row r="1001" spans="1:6" customFormat="1" ht="15" customHeight="1" x14ac:dyDescent="0.2">
      <c r="A1001" s="104"/>
      <c r="B1001" s="101"/>
      <c r="C1001" s="117"/>
      <c r="D1001" s="209"/>
      <c r="E1001" s="209"/>
      <c r="F1001" s="209"/>
    </row>
    <row r="1002" spans="1:6" customFormat="1" ht="15" customHeight="1" x14ac:dyDescent="0.2">
      <c r="A1002" s="104"/>
      <c r="B1002" s="101"/>
      <c r="C1002" s="117"/>
      <c r="D1002" s="209"/>
      <c r="E1002" s="209"/>
      <c r="F1002" s="209"/>
    </row>
    <row r="1003" spans="1:6" customFormat="1" ht="15" customHeight="1" x14ac:dyDescent="0.2">
      <c r="A1003" s="104"/>
      <c r="B1003" s="101"/>
      <c r="C1003" s="117"/>
      <c r="D1003" s="209"/>
      <c r="E1003" s="209"/>
      <c r="F1003" s="209"/>
    </row>
    <row r="1004" spans="1:6" customFormat="1" ht="15" customHeight="1" x14ac:dyDescent="0.2">
      <c r="A1004" s="104"/>
      <c r="B1004" s="101"/>
      <c r="C1004" s="117"/>
      <c r="D1004" s="209"/>
      <c r="E1004" s="209"/>
      <c r="F1004" s="209"/>
    </row>
    <row r="1005" spans="1:6" customFormat="1" ht="15" customHeight="1" x14ac:dyDescent="0.2">
      <c r="A1005" s="104"/>
      <c r="B1005" s="101"/>
      <c r="C1005" s="117"/>
      <c r="D1005" s="209"/>
      <c r="E1005" s="209"/>
      <c r="F1005" s="209"/>
    </row>
    <row r="1006" spans="1:6" customFormat="1" ht="15" customHeight="1" x14ac:dyDescent="0.2">
      <c r="A1006" s="104"/>
      <c r="B1006" s="101"/>
      <c r="C1006" s="117"/>
      <c r="D1006" s="209"/>
      <c r="E1006" s="209"/>
      <c r="F1006" s="209"/>
    </row>
    <row r="1007" spans="1:6" customFormat="1" ht="15" customHeight="1" x14ac:dyDescent="0.2">
      <c r="A1007" s="104"/>
      <c r="B1007" s="101"/>
      <c r="C1007" s="117"/>
      <c r="D1007" s="209"/>
      <c r="E1007" s="209"/>
      <c r="F1007" s="209"/>
    </row>
    <row r="1008" spans="1:6" customFormat="1" ht="15" customHeight="1" x14ac:dyDescent="0.2">
      <c r="A1008" s="104"/>
      <c r="B1008" s="101"/>
      <c r="C1008" s="117"/>
      <c r="D1008" s="209"/>
      <c r="E1008" s="209"/>
      <c r="F1008" s="209"/>
    </row>
    <row r="1009" spans="1:6" customFormat="1" ht="15" customHeight="1" x14ac:dyDescent="0.2">
      <c r="A1009" s="104"/>
      <c r="B1009" s="101"/>
      <c r="C1009" s="117"/>
      <c r="D1009" s="209"/>
      <c r="E1009" s="209"/>
      <c r="F1009" s="209"/>
    </row>
    <row r="1010" spans="1:6" customFormat="1" ht="15" customHeight="1" x14ac:dyDescent="0.2">
      <c r="A1010" s="104"/>
      <c r="B1010" s="101"/>
      <c r="C1010" s="117"/>
      <c r="D1010" s="209"/>
      <c r="E1010" s="209"/>
      <c r="F1010" s="209"/>
    </row>
    <row r="1011" spans="1:6" customFormat="1" ht="15" customHeight="1" x14ac:dyDescent="0.2">
      <c r="A1011" s="104"/>
      <c r="B1011" s="101"/>
      <c r="C1011" s="117"/>
      <c r="D1011" s="209"/>
      <c r="E1011" s="209"/>
      <c r="F1011" s="209"/>
    </row>
    <row r="1012" spans="1:6" customFormat="1" ht="15" customHeight="1" x14ac:dyDescent="0.2">
      <c r="A1012" s="104"/>
      <c r="B1012" s="101"/>
      <c r="C1012" s="117"/>
      <c r="D1012" s="209"/>
      <c r="E1012" s="209"/>
      <c r="F1012" s="209"/>
    </row>
    <row r="1013" spans="1:6" customFormat="1" ht="15" customHeight="1" x14ac:dyDescent="0.2">
      <c r="A1013" s="104"/>
      <c r="B1013" s="101"/>
      <c r="C1013" s="117"/>
      <c r="D1013" s="209"/>
      <c r="E1013" s="209"/>
      <c r="F1013" s="209"/>
    </row>
    <row r="1014" spans="1:6" customFormat="1" ht="15" customHeight="1" x14ac:dyDescent="0.2">
      <c r="A1014" s="104"/>
      <c r="B1014" s="101"/>
      <c r="C1014" s="117"/>
      <c r="D1014" s="209"/>
      <c r="E1014" s="209"/>
      <c r="F1014" s="209"/>
    </row>
    <row r="1015" spans="1:6" customFormat="1" ht="15" customHeight="1" x14ac:dyDescent="0.2">
      <c r="A1015" s="104"/>
      <c r="B1015" s="101"/>
      <c r="C1015" s="117"/>
      <c r="D1015" s="209"/>
      <c r="E1015" s="209"/>
      <c r="F1015" s="209"/>
    </row>
    <row r="1016" spans="1:6" customFormat="1" ht="15" customHeight="1" x14ac:dyDescent="0.2">
      <c r="A1016" s="104"/>
      <c r="B1016" s="101"/>
      <c r="C1016" s="117"/>
      <c r="D1016" s="209"/>
      <c r="E1016" s="209"/>
      <c r="F1016" s="209"/>
    </row>
    <row r="1017" spans="1:6" customFormat="1" ht="15" customHeight="1" x14ac:dyDescent="0.2">
      <c r="A1017" s="104"/>
      <c r="B1017" s="101"/>
      <c r="C1017" s="117"/>
      <c r="D1017" s="209"/>
      <c r="E1017" s="209"/>
      <c r="F1017" s="209"/>
    </row>
    <row r="1018" spans="1:6" customFormat="1" ht="15" customHeight="1" x14ac:dyDescent="0.2">
      <c r="A1018" s="104"/>
      <c r="B1018" s="101"/>
      <c r="C1018" s="117"/>
      <c r="D1018" s="209"/>
      <c r="E1018" s="209"/>
      <c r="F1018" s="209"/>
    </row>
    <row r="1019" spans="1:6" customFormat="1" ht="15" customHeight="1" x14ac:dyDescent="0.2">
      <c r="A1019" s="104"/>
      <c r="B1019" s="101"/>
      <c r="C1019" s="117"/>
      <c r="D1019" s="209"/>
      <c r="E1019" s="209"/>
      <c r="F1019" s="209"/>
    </row>
    <row r="1020" spans="1:6" customFormat="1" ht="15" customHeight="1" x14ac:dyDescent="0.2">
      <c r="A1020" s="104"/>
      <c r="B1020" s="101"/>
      <c r="C1020" s="117"/>
      <c r="D1020" s="209"/>
      <c r="E1020" s="209"/>
      <c r="F1020" s="209"/>
    </row>
    <row r="1021" spans="1:6" customFormat="1" ht="15" customHeight="1" x14ac:dyDescent="0.2">
      <c r="A1021" s="104"/>
      <c r="B1021" s="101"/>
      <c r="C1021" s="117"/>
      <c r="D1021" s="209"/>
      <c r="E1021" s="209"/>
      <c r="F1021" s="209"/>
    </row>
    <row r="1022" spans="1:6" customFormat="1" ht="15" customHeight="1" x14ac:dyDescent="0.2">
      <c r="A1022" s="104"/>
      <c r="B1022" s="101"/>
      <c r="C1022" s="117"/>
      <c r="D1022" s="209"/>
      <c r="E1022" s="209"/>
      <c r="F1022" s="209"/>
    </row>
    <row r="1023" spans="1:6" customFormat="1" ht="15" customHeight="1" x14ac:dyDescent="0.2">
      <c r="A1023" s="104"/>
      <c r="B1023" s="101"/>
      <c r="C1023" s="117"/>
      <c r="D1023" s="209"/>
      <c r="E1023" s="209"/>
      <c r="F1023" s="209"/>
    </row>
    <row r="1024" spans="1:6" customFormat="1" ht="15" customHeight="1" x14ac:dyDescent="0.2">
      <c r="A1024" s="104"/>
      <c r="B1024" s="101"/>
      <c r="C1024" s="117"/>
      <c r="D1024" s="209"/>
      <c r="E1024" s="209"/>
      <c r="F1024" s="209"/>
    </row>
    <row r="1025" spans="1:6" customFormat="1" ht="15" customHeight="1" x14ac:dyDescent="0.2">
      <c r="A1025" s="104"/>
      <c r="B1025" s="101"/>
      <c r="C1025" s="117"/>
      <c r="D1025" s="209"/>
      <c r="E1025" s="209"/>
      <c r="F1025" s="20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35" workbookViewId="0">
      <selection activeCell="E298" sqref="E298"/>
    </sheetView>
  </sheetViews>
  <sheetFormatPr defaultColWidth="14.42578125" defaultRowHeight="15" customHeight="1" x14ac:dyDescent="0.2"/>
  <cols>
    <col min="1" max="1" width="13.28515625" style="114" customWidth="1"/>
    <col min="2" max="2" width="60.7109375" style="126" customWidth="1"/>
    <col min="3" max="3" width="12.7109375" style="114" customWidth="1"/>
    <col min="4" max="5" width="14.7109375" style="56" customWidth="1"/>
    <col min="6" max="6" width="8.7109375" style="56" customWidth="1"/>
    <col min="7" max="24" width="8" style="55" customWidth="1"/>
    <col min="25" max="25" width="14.42578125" style="55" customWidth="1"/>
    <col min="26" max="16384" width="14.42578125" style="55"/>
  </cols>
  <sheetData>
    <row r="1" spans="1:25" s="1" customFormat="1" ht="15" customHeight="1" x14ac:dyDescent="0.2">
      <c r="A1" s="155" t="s">
        <v>48</v>
      </c>
      <c r="B1" s="157" t="s">
        <v>49</v>
      </c>
      <c r="C1" s="155" t="s">
        <v>34</v>
      </c>
      <c r="D1" s="158" t="s">
        <v>35</v>
      </c>
      <c r="E1" s="156" t="s">
        <v>50</v>
      </c>
      <c r="F1" s="159" t="s">
        <v>39</v>
      </c>
    </row>
    <row r="2" spans="1:25" customFormat="1" ht="50.1" customHeight="1" x14ac:dyDescent="0.25">
      <c r="A2" s="329" t="s">
        <v>32</v>
      </c>
      <c r="B2" s="330"/>
      <c r="C2" s="330"/>
      <c r="D2" s="330"/>
      <c r="E2" s="330"/>
      <c r="F2" s="330"/>
      <c r="G2" s="54"/>
      <c r="H2" s="54"/>
      <c r="I2" s="54"/>
      <c r="J2" s="54"/>
      <c r="K2" s="54"/>
      <c r="L2" s="54"/>
      <c r="M2" s="54"/>
      <c r="N2" s="54"/>
      <c r="O2" s="54"/>
      <c r="P2" s="54"/>
      <c r="Q2" s="54"/>
      <c r="R2" s="54"/>
      <c r="S2" s="54"/>
      <c r="T2" s="54"/>
      <c r="U2" s="54"/>
      <c r="V2" s="54"/>
      <c r="W2" s="54"/>
      <c r="X2" s="54"/>
    </row>
    <row r="3" spans="1:25" s="119" customFormat="1" ht="48" customHeight="1" x14ac:dyDescent="0.2">
      <c r="A3" s="145" t="s">
        <v>52</v>
      </c>
      <c r="B3" s="146" t="s">
        <v>41</v>
      </c>
      <c r="C3" s="147" t="s">
        <v>42</v>
      </c>
      <c r="D3" s="148" t="s">
        <v>1985</v>
      </c>
      <c r="E3" s="146" t="s">
        <v>1986</v>
      </c>
      <c r="F3" s="149" t="s">
        <v>55</v>
      </c>
    </row>
    <row r="4" spans="1:25" s="118" customFormat="1" ht="12" customHeight="1" x14ac:dyDescent="0.2">
      <c r="A4" s="142">
        <v>1</v>
      </c>
      <c r="B4" s="144">
        <v>2</v>
      </c>
      <c r="C4" s="210" t="s">
        <v>56</v>
      </c>
      <c r="D4" s="210">
        <v>4</v>
      </c>
      <c r="E4" s="144">
        <v>5</v>
      </c>
      <c r="F4" s="143">
        <v>6</v>
      </c>
      <c r="G4" s="191"/>
      <c r="H4" s="191"/>
      <c r="I4" s="191"/>
      <c r="J4" s="191"/>
      <c r="K4" s="191"/>
      <c r="L4" s="191"/>
      <c r="M4" s="191"/>
      <c r="N4" s="191"/>
      <c r="O4" s="191"/>
      <c r="P4" s="191"/>
      <c r="Q4" s="191"/>
      <c r="R4" s="191"/>
      <c r="S4" s="191"/>
      <c r="T4" s="191"/>
      <c r="U4" s="191"/>
      <c r="V4" s="191"/>
      <c r="W4" s="191"/>
      <c r="X4" s="191"/>
      <c r="Y4" s="191"/>
    </row>
    <row r="5" spans="1:25" s="1" customFormat="1" ht="20.100000000000001" customHeight="1" x14ac:dyDescent="0.2">
      <c r="A5" s="333" t="s">
        <v>1987</v>
      </c>
      <c r="B5" s="334"/>
      <c r="C5" s="211"/>
      <c r="D5" s="212"/>
      <c r="E5" s="212"/>
      <c r="F5" s="213"/>
      <c r="G5" s="38"/>
      <c r="H5" s="38"/>
      <c r="I5" s="38"/>
      <c r="J5" s="38"/>
      <c r="K5" s="38"/>
      <c r="L5" s="38"/>
      <c r="M5" s="38"/>
      <c r="N5" s="38"/>
      <c r="O5" s="38"/>
      <c r="P5" s="38"/>
      <c r="Q5" s="38"/>
      <c r="R5" s="38"/>
      <c r="S5" s="38"/>
      <c r="T5" s="38"/>
      <c r="U5" s="38"/>
      <c r="V5" s="38"/>
      <c r="W5" s="38"/>
      <c r="X5" s="38"/>
    </row>
    <row r="6" spans="1:25" customFormat="1" ht="12.75" customHeight="1" x14ac:dyDescent="0.2">
      <c r="A6" s="214"/>
      <c r="B6" s="120" t="s">
        <v>1988</v>
      </c>
      <c r="C6" s="121" t="s">
        <v>1989</v>
      </c>
      <c r="D6" s="270">
        <f>D7+D68</f>
        <v>3358729.92</v>
      </c>
      <c r="E6" s="270">
        <f>E7+E68</f>
        <v>3981211.91</v>
      </c>
      <c r="F6" s="215">
        <f t="shared" ref="F6:F37" si="0">IF(D6&gt;0,IF(E6/D6&gt;=100,"&gt;&gt;100",E6/D6*100),"-")</f>
        <v>118.5332552728741</v>
      </c>
      <c r="G6" s="54"/>
      <c r="H6" s="54"/>
      <c r="I6" s="54"/>
      <c r="J6" s="54"/>
      <c r="K6" s="54"/>
      <c r="L6" s="54"/>
      <c r="M6" s="54"/>
      <c r="N6" s="54"/>
      <c r="O6" s="54"/>
      <c r="P6" s="54"/>
      <c r="Q6" s="54"/>
      <c r="R6" s="54"/>
      <c r="S6" s="54"/>
      <c r="T6" s="54"/>
      <c r="U6" s="54"/>
      <c r="V6" s="54"/>
      <c r="W6" s="54"/>
      <c r="X6" s="54"/>
    </row>
    <row r="7" spans="1:25" customFormat="1" ht="12.75" customHeight="1" x14ac:dyDescent="0.2">
      <c r="A7" s="58" t="s">
        <v>1990</v>
      </c>
      <c r="B7" s="53" t="s">
        <v>1991</v>
      </c>
      <c r="C7" s="59" t="s">
        <v>1992</v>
      </c>
      <c r="D7" s="271">
        <f>D8+D12+D51+D52+D56+D63</f>
        <v>2758759.2499999995</v>
      </c>
      <c r="E7" s="271">
        <f>E8+E12+E51+E52+E56+E63</f>
        <v>3468752.1500000004</v>
      </c>
      <c r="F7" s="60">
        <f t="shared" si="0"/>
        <v>125.73594995648862</v>
      </c>
      <c r="G7" s="54"/>
      <c r="H7" s="54"/>
      <c r="I7" s="54"/>
      <c r="J7" s="54"/>
      <c r="K7" s="54"/>
      <c r="L7" s="54"/>
      <c r="M7" s="54"/>
      <c r="N7" s="54"/>
      <c r="O7" s="54"/>
      <c r="P7" s="54"/>
      <c r="Q7" s="54"/>
      <c r="R7" s="54"/>
      <c r="S7" s="54"/>
      <c r="T7" s="54"/>
      <c r="U7" s="54"/>
      <c r="V7" s="54"/>
      <c r="W7" s="54"/>
      <c r="X7" s="54"/>
    </row>
    <row r="8" spans="1:25" customFormat="1" ht="12.75" customHeight="1" x14ac:dyDescent="0.2">
      <c r="A8" s="58" t="s">
        <v>1993</v>
      </c>
      <c r="B8" s="53" t="s">
        <v>1994</v>
      </c>
      <c r="C8" s="59" t="s">
        <v>1993</v>
      </c>
      <c r="D8" s="271">
        <f>D9+D10-D11</f>
        <v>63594.090000000004</v>
      </c>
      <c r="E8" s="271">
        <f>E9+E10-E11</f>
        <v>63079.79</v>
      </c>
      <c r="F8" s="60">
        <f t="shared" si="0"/>
        <v>99.191277051059302</v>
      </c>
      <c r="G8" s="54"/>
      <c r="H8" s="54"/>
      <c r="I8" s="54"/>
      <c r="J8" s="54"/>
      <c r="K8" s="54"/>
      <c r="L8" s="54"/>
      <c r="M8" s="54"/>
      <c r="N8" s="54"/>
      <c r="O8" s="54"/>
      <c r="P8" s="54"/>
      <c r="Q8" s="54"/>
      <c r="R8" s="54"/>
      <c r="S8" s="54"/>
      <c r="T8" s="54"/>
      <c r="U8" s="54"/>
      <c r="V8" s="54"/>
      <c r="W8" s="54"/>
      <c r="X8" s="54"/>
    </row>
    <row r="9" spans="1:25" customFormat="1" ht="12.75" customHeight="1" x14ac:dyDescent="0.2">
      <c r="A9" s="58" t="s">
        <v>1995</v>
      </c>
      <c r="B9" s="53" t="s">
        <v>1996</v>
      </c>
      <c r="C9" s="59" t="s">
        <v>1995</v>
      </c>
      <c r="D9" s="272">
        <v>62471.48</v>
      </c>
      <c r="E9" s="272">
        <v>62471.48</v>
      </c>
      <c r="F9" s="60">
        <f t="shared" si="0"/>
        <v>100</v>
      </c>
      <c r="G9" s="54"/>
      <c r="H9" s="54"/>
      <c r="I9" s="54"/>
      <c r="J9" s="54"/>
      <c r="K9" s="54"/>
      <c r="L9" s="54"/>
      <c r="M9" s="54"/>
      <c r="N9" s="54"/>
      <c r="O9" s="54"/>
      <c r="P9" s="54"/>
      <c r="Q9" s="54"/>
      <c r="R9" s="54"/>
      <c r="S9" s="54"/>
      <c r="T9" s="54"/>
      <c r="U9" s="54"/>
      <c r="V9" s="54"/>
      <c r="W9" s="54"/>
      <c r="X9" s="54"/>
    </row>
    <row r="10" spans="1:25" customFormat="1" ht="12.75" customHeight="1" x14ac:dyDescent="0.2">
      <c r="A10" s="58" t="s">
        <v>1997</v>
      </c>
      <c r="B10" s="53" t="s">
        <v>1998</v>
      </c>
      <c r="C10" s="59" t="s">
        <v>1997</v>
      </c>
      <c r="D10" s="272">
        <v>2057.1999999999998</v>
      </c>
      <c r="E10" s="272">
        <v>2057.1999999999998</v>
      </c>
      <c r="F10" s="60">
        <f t="shared" si="0"/>
        <v>100</v>
      </c>
      <c r="G10" s="54"/>
      <c r="H10" s="54"/>
      <c r="I10" s="54"/>
      <c r="J10" s="54"/>
      <c r="K10" s="54"/>
      <c r="L10" s="54"/>
      <c r="M10" s="54"/>
      <c r="N10" s="54"/>
      <c r="O10" s="54"/>
      <c r="P10" s="54"/>
      <c r="Q10" s="54"/>
      <c r="R10" s="54"/>
      <c r="S10" s="54"/>
      <c r="T10" s="54"/>
      <c r="U10" s="54"/>
      <c r="V10" s="54"/>
      <c r="W10" s="54"/>
      <c r="X10" s="54"/>
    </row>
    <row r="11" spans="1:25" customFormat="1" ht="12.75" customHeight="1" x14ac:dyDescent="0.2">
      <c r="A11" s="58" t="s">
        <v>1999</v>
      </c>
      <c r="B11" s="53" t="s">
        <v>2000</v>
      </c>
      <c r="C11" s="59" t="s">
        <v>1999</v>
      </c>
      <c r="D11" s="272">
        <v>934.59</v>
      </c>
      <c r="E11" s="272">
        <v>1448.89</v>
      </c>
      <c r="F11" s="60">
        <f t="shared" si="0"/>
        <v>155.02947816689672</v>
      </c>
      <c r="G11" s="54"/>
      <c r="H11" s="54"/>
      <c r="I11" s="54"/>
      <c r="J11" s="54"/>
      <c r="K11" s="54"/>
      <c r="L11" s="54"/>
      <c r="M11" s="54"/>
      <c r="N11" s="54"/>
      <c r="O11" s="54"/>
      <c r="P11" s="54"/>
      <c r="Q11" s="54"/>
      <c r="R11" s="54"/>
      <c r="S11" s="54"/>
      <c r="T11" s="54"/>
      <c r="U11" s="54"/>
      <c r="V11" s="54"/>
      <c r="W11" s="54"/>
      <c r="X11" s="54"/>
    </row>
    <row r="12" spans="1:25" customFormat="1" ht="24" customHeight="1" x14ac:dyDescent="0.2">
      <c r="A12" s="58" t="s">
        <v>2001</v>
      </c>
      <c r="B12" s="53" t="s">
        <v>2002</v>
      </c>
      <c r="C12" s="59" t="s">
        <v>2001</v>
      </c>
      <c r="D12" s="271">
        <f>D13+D19+D29+D35+D41+D45</f>
        <v>2510458.11</v>
      </c>
      <c r="E12" s="271">
        <f>E13+E19+E29+E35+E41+E45</f>
        <v>2810044.33</v>
      </c>
      <c r="F12" s="60">
        <f t="shared" si="0"/>
        <v>111.93352794084264</v>
      </c>
      <c r="G12" s="54"/>
      <c r="H12" s="54"/>
      <c r="I12" s="54"/>
      <c r="J12" s="54"/>
      <c r="K12" s="54"/>
      <c r="L12" s="54"/>
      <c r="M12" s="54"/>
      <c r="N12" s="54"/>
      <c r="O12" s="54"/>
      <c r="P12" s="54"/>
      <c r="Q12" s="54"/>
      <c r="R12" s="54"/>
      <c r="S12" s="54"/>
      <c r="T12" s="54"/>
      <c r="U12" s="54"/>
      <c r="V12" s="54"/>
      <c r="W12" s="54"/>
      <c r="X12" s="54"/>
    </row>
    <row r="13" spans="1:25" customFormat="1" ht="12.75" customHeight="1" x14ac:dyDescent="0.2">
      <c r="A13" s="61" t="s">
        <v>2003</v>
      </c>
      <c r="B13" s="53" t="s">
        <v>2004</v>
      </c>
      <c r="C13" s="59" t="s">
        <v>2003</v>
      </c>
      <c r="D13" s="271">
        <f>SUM(D14:D17)-D18</f>
        <v>2381401.38</v>
      </c>
      <c r="E13" s="271">
        <f>SUM(E14:E17)-E18</f>
        <v>2691481.96</v>
      </c>
      <c r="F13" s="60">
        <f t="shared" si="0"/>
        <v>113.02092887844049</v>
      </c>
      <c r="G13" s="54"/>
      <c r="H13" s="54"/>
      <c r="I13" s="54"/>
      <c r="J13" s="54"/>
      <c r="K13" s="54"/>
      <c r="L13" s="54"/>
      <c r="M13" s="54"/>
      <c r="N13" s="54"/>
      <c r="O13" s="54"/>
      <c r="P13" s="54"/>
      <c r="Q13" s="54"/>
      <c r="R13" s="54"/>
      <c r="S13" s="54"/>
      <c r="T13" s="54"/>
      <c r="U13" s="54"/>
      <c r="V13" s="54"/>
      <c r="W13" s="54"/>
      <c r="X13" s="54"/>
    </row>
    <row r="14" spans="1:25" customFormat="1" ht="12.75" customHeight="1" x14ac:dyDescent="0.2">
      <c r="A14" s="58" t="s">
        <v>2005</v>
      </c>
      <c r="B14" s="53" t="s">
        <v>665</v>
      </c>
      <c r="C14" s="59" t="s">
        <v>2005</v>
      </c>
      <c r="D14" s="272">
        <v>0.13</v>
      </c>
      <c r="E14" s="272">
        <v>0.13</v>
      </c>
      <c r="F14" s="60">
        <f t="shared" si="0"/>
        <v>100</v>
      </c>
      <c r="G14" s="54"/>
      <c r="H14" s="54"/>
      <c r="I14" s="54"/>
      <c r="J14" s="54"/>
      <c r="K14" s="54"/>
      <c r="L14" s="54"/>
      <c r="M14" s="54"/>
      <c r="N14" s="54"/>
      <c r="O14" s="54"/>
      <c r="P14" s="54"/>
      <c r="Q14" s="54"/>
      <c r="R14" s="54"/>
      <c r="S14" s="54"/>
      <c r="T14" s="54"/>
      <c r="U14" s="54"/>
      <c r="V14" s="54"/>
      <c r="W14" s="54"/>
      <c r="X14" s="54"/>
    </row>
    <row r="15" spans="1:25" customFormat="1" ht="12.75" customHeight="1" x14ac:dyDescent="0.2">
      <c r="A15" s="58" t="s">
        <v>2006</v>
      </c>
      <c r="B15" s="53" t="s">
        <v>667</v>
      </c>
      <c r="C15" s="59" t="s">
        <v>2006</v>
      </c>
      <c r="D15" s="272">
        <v>1635702.77</v>
      </c>
      <c r="E15" s="272">
        <v>1803669.83</v>
      </c>
      <c r="F15" s="60">
        <f t="shared" si="0"/>
        <v>110.26880085310364</v>
      </c>
      <c r="G15" s="54"/>
      <c r="H15" s="54"/>
      <c r="I15" s="54"/>
      <c r="J15" s="54"/>
      <c r="K15" s="54"/>
      <c r="L15" s="54"/>
      <c r="M15" s="54"/>
      <c r="N15" s="54"/>
      <c r="O15" s="54"/>
      <c r="P15" s="54"/>
      <c r="Q15" s="54"/>
      <c r="R15" s="54"/>
      <c r="S15" s="54"/>
      <c r="T15" s="54"/>
      <c r="U15" s="54"/>
      <c r="V15" s="54"/>
      <c r="W15" s="54"/>
      <c r="X15" s="54"/>
    </row>
    <row r="16" spans="1:25" customFormat="1" ht="12.75" customHeight="1" x14ac:dyDescent="0.2">
      <c r="A16" s="58" t="s">
        <v>2007</v>
      </c>
      <c r="B16" s="53" t="s">
        <v>669</v>
      </c>
      <c r="C16" s="59" t="s">
        <v>2007</v>
      </c>
      <c r="D16" s="272">
        <v>1244536.8500000001</v>
      </c>
      <c r="E16" s="272">
        <v>1444889.21</v>
      </c>
      <c r="F16" s="60">
        <f t="shared" si="0"/>
        <v>116.09854782524116</v>
      </c>
      <c r="G16" s="54"/>
      <c r="H16" s="54"/>
      <c r="I16" s="54"/>
      <c r="J16" s="54"/>
      <c r="K16" s="54"/>
      <c r="L16" s="54"/>
      <c r="M16" s="54"/>
      <c r="N16" s="54"/>
      <c r="O16" s="54"/>
      <c r="P16" s="54"/>
      <c r="Q16" s="54"/>
      <c r="R16" s="54"/>
      <c r="S16" s="54"/>
      <c r="T16" s="54"/>
      <c r="U16" s="54"/>
      <c r="V16" s="54"/>
      <c r="W16" s="54"/>
      <c r="X16" s="54"/>
    </row>
    <row r="17" spans="1:24" customFormat="1" ht="12.75" customHeight="1" x14ac:dyDescent="0.2">
      <c r="A17" s="58" t="s">
        <v>2008</v>
      </c>
      <c r="B17" s="53" t="s">
        <v>671</v>
      </c>
      <c r="C17" s="59" t="s">
        <v>2008</v>
      </c>
      <c r="D17" s="272">
        <v>366717.98</v>
      </c>
      <c r="E17" s="272">
        <v>405516.94</v>
      </c>
      <c r="F17" s="60">
        <f t="shared" si="0"/>
        <v>110.58005391500029</v>
      </c>
      <c r="G17" s="54"/>
      <c r="H17" s="54"/>
      <c r="I17" s="54"/>
      <c r="J17" s="54"/>
      <c r="K17" s="54"/>
      <c r="L17" s="54"/>
      <c r="M17" s="54"/>
      <c r="N17" s="54"/>
      <c r="O17" s="54"/>
      <c r="P17" s="54"/>
      <c r="Q17" s="54"/>
      <c r="R17" s="54"/>
      <c r="S17" s="54"/>
      <c r="T17" s="54"/>
      <c r="U17" s="54"/>
      <c r="V17" s="54"/>
      <c r="W17" s="54"/>
      <c r="X17" s="54"/>
    </row>
    <row r="18" spans="1:24" customFormat="1" ht="12.75" customHeight="1" x14ac:dyDescent="0.2">
      <c r="A18" s="58" t="s">
        <v>2009</v>
      </c>
      <c r="B18" s="53" t="s">
        <v>2010</v>
      </c>
      <c r="C18" s="59" t="s">
        <v>2009</v>
      </c>
      <c r="D18" s="272">
        <v>865556.35</v>
      </c>
      <c r="E18" s="272">
        <v>962594.15</v>
      </c>
      <c r="F18" s="60">
        <f t="shared" si="0"/>
        <v>111.21103207203092</v>
      </c>
      <c r="G18" s="54"/>
      <c r="H18" s="54"/>
      <c r="I18" s="54"/>
      <c r="J18" s="54"/>
      <c r="K18" s="54"/>
      <c r="L18" s="54"/>
      <c r="M18" s="54"/>
      <c r="N18" s="54"/>
      <c r="O18" s="54"/>
      <c r="P18" s="54"/>
      <c r="Q18" s="54"/>
      <c r="R18" s="54"/>
      <c r="S18" s="54"/>
      <c r="T18" s="54"/>
      <c r="U18" s="54"/>
      <c r="V18" s="54"/>
      <c r="W18" s="54"/>
      <c r="X18" s="54"/>
    </row>
    <row r="19" spans="1:24" customFormat="1" ht="12.75" customHeight="1" x14ac:dyDescent="0.2">
      <c r="A19" s="61" t="s">
        <v>2011</v>
      </c>
      <c r="B19" s="53" t="s">
        <v>2012</v>
      </c>
      <c r="C19" s="59" t="s">
        <v>2011</v>
      </c>
      <c r="D19" s="271">
        <f>SUM(D20:D27)-D28</f>
        <v>48119.180000000022</v>
      </c>
      <c r="E19" s="271">
        <f>SUM(E20:E27)-E28</f>
        <v>45428.290000000037</v>
      </c>
      <c r="F19" s="60">
        <f t="shared" si="0"/>
        <v>94.407863974406908</v>
      </c>
      <c r="G19" s="54"/>
      <c r="H19" s="54"/>
      <c r="I19" s="54"/>
      <c r="J19" s="54"/>
      <c r="K19" s="54"/>
      <c r="L19" s="54"/>
      <c r="M19" s="54"/>
      <c r="N19" s="54"/>
      <c r="O19" s="54"/>
      <c r="P19" s="54"/>
      <c r="Q19" s="54"/>
      <c r="R19" s="54"/>
      <c r="S19" s="54"/>
      <c r="T19" s="54"/>
      <c r="U19" s="54"/>
      <c r="V19" s="54"/>
      <c r="W19" s="54"/>
      <c r="X19" s="54"/>
    </row>
    <row r="20" spans="1:24" customFormat="1" ht="12.75" customHeight="1" x14ac:dyDescent="0.2">
      <c r="A20" s="58" t="s">
        <v>2013</v>
      </c>
      <c r="B20" s="53" t="s">
        <v>675</v>
      </c>
      <c r="C20" s="59" t="s">
        <v>2013</v>
      </c>
      <c r="D20" s="272">
        <v>79217.570000000007</v>
      </c>
      <c r="E20" s="272">
        <v>80154.47</v>
      </c>
      <c r="F20" s="60">
        <f t="shared" si="0"/>
        <v>101.18269217296113</v>
      </c>
      <c r="G20" s="54"/>
      <c r="H20" s="54"/>
      <c r="I20" s="54"/>
      <c r="J20" s="54"/>
      <c r="K20" s="54"/>
      <c r="L20" s="54"/>
      <c r="M20" s="54"/>
      <c r="N20" s="54"/>
      <c r="O20" s="54"/>
      <c r="P20" s="54"/>
      <c r="Q20" s="54"/>
      <c r="R20" s="54"/>
      <c r="S20" s="54"/>
      <c r="T20" s="54"/>
      <c r="U20" s="54"/>
      <c r="V20" s="54"/>
      <c r="W20" s="54"/>
      <c r="X20" s="54"/>
    </row>
    <row r="21" spans="1:24" customFormat="1" ht="12.75" customHeight="1" x14ac:dyDescent="0.2">
      <c r="A21" s="58" t="s">
        <v>2014</v>
      </c>
      <c r="B21" s="53" t="s">
        <v>768</v>
      </c>
      <c r="C21" s="59" t="s">
        <v>2014</v>
      </c>
      <c r="D21" s="272">
        <v>26863.33</v>
      </c>
      <c r="E21" s="272">
        <v>30522.66</v>
      </c>
      <c r="F21" s="60">
        <f t="shared" si="0"/>
        <v>113.62202675543203</v>
      </c>
      <c r="G21" s="54"/>
      <c r="H21" s="54"/>
      <c r="I21" s="54"/>
      <c r="J21" s="54"/>
      <c r="K21" s="54"/>
      <c r="L21" s="54"/>
      <c r="M21" s="54"/>
      <c r="N21" s="54"/>
      <c r="O21" s="54"/>
      <c r="P21" s="54"/>
      <c r="Q21" s="54"/>
      <c r="R21" s="54"/>
      <c r="S21" s="54"/>
      <c r="T21" s="54"/>
      <c r="U21" s="54"/>
      <c r="V21" s="54"/>
      <c r="W21" s="54"/>
      <c r="X21" s="54"/>
    </row>
    <row r="22" spans="1:24" customFormat="1" ht="12.75" customHeight="1" x14ac:dyDescent="0.2">
      <c r="A22" s="58" t="s">
        <v>2015</v>
      </c>
      <c r="B22" s="53" t="s">
        <v>679</v>
      </c>
      <c r="C22" s="59" t="s">
        <v>2015</v>
      </c>
      <c r="D22" s="272">
        <v>10850.64</v>
      </c>
      <c r="E22" s="272">
        <v>19207.12</v>
      </c>
      <c r="F22" s="60">
        <f t="shared" si="0"/>
        <v>177.01370610397177</v>
      </c>
      <c r="G22" s="54"/>
      <c r="H22" s="54"/>
      <c r="I22" s="54"/>
      <c r="J22" s="54"/>
      <c r="K22" s="54"/>
      <c r="L22" s="54"/>
      <c r="M22" s="54"/>
      <c r="N22" s="54"/>
      <c r="O22" s="54"/>
      <c r="P22" s="54"/>
      <c r="Q22" s="54"/>
      <c r="R22" s="54"/>
      <c r="S22" s="54"/>
      <c r="T22" s="54"/>
      <c r="U22" s="54"/>
      <c r="V22" s="54"/>
      <c r="W22" s="54"/>
      <c r="X22" s="54"/>
    </row>
    <row r="23" spans="1:24" customFormat="1" ht="12.75" customHeight="1" x14ac:dyDescent="0.2">
      <c r="A23" s="58" t="s">
        <v>2016</v>
      </c>
      <c r="B23" s="53" t="s">
        <v>681</v>
      </c>
      <c r="C23" s="59" t="s">
        <v>2016</v>
      </c>
      <c r="D23" s="272">
        <v>0</v>
      </c>
      <c r="E23" s="272">
        <v>0</v>
      </c>
      <c r="F23" s="60" t="str">
        <f t="shared" si="0"/>
        <v>-</v>
      </c>
      <c r="G23" s="54"/>
      <c r="H23" s="54"/>
      <c r="I23" s="54"/>
      <c r="J23" s="54"/>
      <c r="K23" s="54"/>
      <c r="L23" s="54"/>
      <c r="M23" s="54"/>
      <c r="N23" s="54"/>
      <c r="O23" s="54"/>
      <c r="P23" s="54"/>
      <c r="Q23" s="54"/>
      <c r="R23" s="54"/>
      <c r="S23" s="54"/>
      <c r="T23" s="54"/>
      <c r="U23" s="54"/>
      <c r="V23" s="54"/>
      <c r="W23" s="54"/>
      <c r="X23" s="54"/>
    </row>
    <row r="24" spans="1:24" customFormat="1" ht="12.75" customHeight="1" x14ac:dyDescent="0.2">
      <c r="A24" s="58" t="s">
        <v>2017</v>
      </c>
      <c r="B24" s="53" t="s">
        <v>2018</v>
      </c>
      <c r="C24" s="59" t="s">
        <v>2017</v>
      </c>
      <c r="D24" s="272">
        <v>0</v>
      </c>
      <c r="E24" s="272">
        <v>7082.5</v>
      </c>
      <c r="F24" s="60" t="str">
        <f t="shared" si="0"/>
        <v>-</v>
      </c>
      <c r="G24" s="54"/>
      <c r="H24" s="54"/>
      <c r="I24" s="54"/>
      <c r="J24" s="54"/>
      <c r="K24" s="54"/>
      <c r="L24" s="54"/>
      <c r="M24" s="54"/>
      <c r="N24" s="54"/>
      <c r="O24" s="54"/>
      <c r="P24" s="54"/>
      <c r="Q24" s="54"/>
      <c r="R24" s="54"/>
      <c r="S24" s="54"/>
      <c r="T24" s="54"/>
      <c r="U24" s="54"/>
      <c r="V24" s="54"/>
      <c r="W24" s="54"/>
      <c r="X24" s="54"/>
    </row>
    <row r="25" spans="1:24" customFormat="1" ht="12.75" customHeight="1" x14ac:dyDescent="0.2">
      <c r="A25" s="58" t="s">
        <v>2019</v>
      </c>
      <c r="B25" s="53" t="s">
        <v>685</v>
      </c>
      <c r="C25" s="59" t="s">
        <v>2019</v>
      </c>
      <c r="D25" s="272">
        <v>23874.7</v>
      </c>
      <c r="E25" s="272">
        <v>23874.7</v>
      </c>
      <c r="F25" s="60">
        <f t="shared" si="0"/>
        <v>100</v>
      </c>
      <c r="G25" s="54"/>
      <c r="H25" s="54"/>
      <c r="I25" s="54"/>
      <c r="J25" s="54"/>
      <c r="K25" s="54"/>
      <c r="L25" s="54"/>
      <c r="M25" s="54"/>
      <c r="N25" s="54"/>
      <c r="O25" s="54"/>
      <c r="P25" s="54"/>
      <c r="Q25" s="54"/>
      <c r="R25" s="54"/>
      <c r="S25" s="54"/>
      <c r="T25" s="54"/>
      <c r="U25" s="54"/>
      <c r="V25" s="54"/>
      <c r="W25" s="54"/>
      <c r="X25" s="54"/>
    </row>
    <row r="26" spans="1:24" customFormat="1" ht="12.75" customHeight="1" x14ac:dyDescent="0.2">
      <c r="A26" s="58" t="s">
        <v>2020</v>
      </c>
      <c r="B26" s="53" t="s">
        <v>687</v>
      </c>
      <c r="C26" s="59" t="s">
        <v>2020</v>
      </c>
      <c r="D26" s="272">
        <v>80827.070000000007</v>
      </c>
      <c r="E26" s="272">
        <v>81357.83</v>
      </c>
      <c r="F26" s="60">
        <f t="shared" si="0"/>
        <v>100.65666119036605</v>
      </c>
      <c r="G26" s="54"/>
      <c r="H26" s="54"/>
      <c r="I26" s="54"/>
      <c r="J26" s="54"/>
      <c r="K26" s="54"/>
      <c r="L26" s="54"/>
      <c r="M26" s="54"/>
      <c r="N26" s="54"/>
      <c r="O26" s="54"/>
      <c r="P26" s="54"/>
      <c r="Q26" s="54"/>
      <c r="R26" s="54"/>
      <c r="S26" s="54"/>
      <c r="T26" s="54"/>
      <c r="U26" s="54"/>
      <c r="V26" s="54"/>
      <c r="W26" s="54"/>
      <c r="X26" s="54"/>
    </row>
    <row r="27" spans="1:24" customFormat="1" ht="12.75" customHeight="1" x14ac:dyDescent="0.2">
      <c r="A27" s="58" t="s">
        <v>2021</v>
      </c>
      <c r="B27" s="53" t="s">
        <v>689</v>
      </c>
      <c r="C27" s="59" t="s">
        <v>2021</v>
      </c>
      <c r="D27" s="272">
        <v>0</v>
      </c>
      <c r="E27" s="272">
        <v>0</v>
      </c>
      <c r="F27" s="60" t="str">
        <f t="shared" si="0"/>
        <v>-</v>
      </c>
      <c r="G27" s="54"/>
      <c r="H27" s="54"/>
      <c r="I27" s="54"/>
      <c r="J27" s="54"/>
      <c r="K27" s="54"/>
      <c r="L27" s="54"/>
      <c r="M27" s="54"/>
      <c r="N27" s="54"/>
      <c r="O27" s="54"/>
      <c r="P27" s="54"/>
      <c r="Q27" s="54"/>
      <c r="R27" s="54"/>
      <c r="S27" s="54"/>
      <c r="T27" s="54"/>
      <c r="U27" s="54"/>
      <c r="V27" s="54"/>
      <c r="W27" s="54"/>
      <c r="X27" s="54"/>
    </row>
    <row r="28" spans="1:24" customFormat="1" ht="12.75" customHeight="1" x14ac:dyDescent="0.2">
      <c r="A28" s="58" t="s">
        <v>2022</v>
      </c>
      <c r="B28" s="53" t="s">
        <v>2023</v>
      </c>
      <c r="C28" s="59" t="s">
        <v>2022</v>
      </c>
      <c r="D28" s="272">
        <v>173514.13</v>
      </c>
      <c r="E28" s="272">
        <v>196770.99</v>
      </c>
      <c r="F28" s="60">
        <f t="shared" si="0"/>
        <v>113.4034386709601</v>
      </c>
      <c r="G28" s="54"/>
      <c r="H28" s="54"/>
      <c r="I28" s="54"/>
      <c r="J28" s="54"/>
      <c r="K28" s="54"/>
      <c r="L28" s="54"/>
      <c r="M28" s="54"/>
      <c r="N28" s="54"/>
      <c r="O28" s="54"/>
      <c r="P28" s="54"/>
      <c r="Q28" s="54"/>
      <c r="R28" s="54"/>
      <c r="S28" s="54"/>
      <c r="T28" s="54"/>
      <c r="U28" s="54"/>
      <c r="V28" s="54"/>
      <c r="W28" s="54"/>
      <c r="X28" s="54"/>
    </row>
    <row r="29" spans="1:24" customFormat="1" ht="12.75" customHeight="1" x14ac:dyDescent="0.2">
      <c r="A29" s="61" t="s">
        <v>2024</v>
      </c>
      <c r="B29" s="53" t="s">
        <v>2025</v>
      </c>
      <c r="C29" s="59" t="s">
        <v>2024</v>
      </c>
      <c r="D29" s="271">
        <f>SUM(D30:D33)-D34</f>
        <v>0</v>
      </c>
      <c r="E29" s="271">
        <f>SUM(E30:E33)-E34</f>
        <v>0</v>
      </c>
      <c r="F29" s="60" t="str">
        <f t="shared" si="0"/>
        <v>-</v>
      </c>
      <c r="G29" s="54"/>
      <c r="H29" s="54"/>
      <c r="I29" s="54"/>
      <c r="J29" s="54"/>
      <c r="K29" s="54"/>
      <c r="L29" s="54"/>
      <c r="M29" s="54"/>
      <c r="N29" s="54"/>
      <c r="O29" s="54"/>
      <c r="P29" s="54"/>
      <c r="Q29" s="54"/>
      <c r="R29" s="54"/>
      <c r="S29" s="54"/>
      <c r="T29" s="54"/>
      <c r="U29" s="54"/>
      <c r="V29" s="54"/>
      <c r="W29" s="54"/>
      <c r="X29" s="54"/>
    </row>
    <row r="30" spans="1:24" customFormat="1" ht="12.75" customHeight="1" x14ac:dyDescent="0.2">
      <c r="A30" s="58" t="s">
        <v>2026</v>
      </c>
      <c r="B30" s="53" t="s">
        <v>693</v>
      </c>
      <c r="C30" s="59" t="s">
        <v>2026</v>
      </c>
      <c r="D30" s="272">
        <v>0</v>
      </c>
      <c r="E30" s="272">
        <v>0</v>
      </c>
      <c r="F30" s="60" t="str">
        <f t="shared" si="0"/>
        <v>-</v>
      </c>
      <c r="G30" s="54"/>
      <c r="H30" s="54"/>
      <c r="I30" s="54"/>
      <c r="J30" s="54"/>
      <c r="K30" s="54"/>
      <c r="L30" s="54"/>
      <c r="M30" s="54"/>
      <c r="N30" s="54"/>
      <c r="O30" s="54"/>
      <c r="P30" s="54"/>
      <c r="Q30" s="54"/>
      <c r="R30" s="54"/>
      <c r="S30" s="54"/>
      <c r="T30" s="54"/>
      <c r="U30" s="54"/>
      <c r="V30" s="54"/>
      <c r="W30" s="54"/>
      <c r="X30" s="54"/>
    </row>
    <row r="31" spans="1:24" customFormat="1" ht="12.75" customHeight="1" x14ac:dyDescent="0.2">
      <c r="A31" s="58" t="s">
        <v>2027</v>
      </c>
      <c r="B31" s="53" t="s">
        <v>2028</v>
      </c>
      <c r="C31" s="59" t="s">
        <v>2027</v>
      </c>
      <c r="D31" s="272">
        <v>0</v>
      </c>
      <c r="E31" s="272">
        <v>0</v>
      </c>
      <c r="F31" s="60" t="str">
        <f t="shared" si="0"/>
        <v>-</v>
      </c>
      <c r="G31" s="54"/>
      <c r="H31" s="54"/>
      <c r="I31" s="54"/>
      <c r="J31" s="54"/>
      <c r="K31" s="54"/>
      <c r="L31" s="54"/>
      <c r="M31" s="54"/>
      <c r="N31" s="54"/>
      <c r="O31" s="54"/>
      <c r="P31" s="54"/>
      <c r="Q31" s="54"/>
      <c r="R31" s="54"/>
      <c r="S31" s="54"/>
      <c r="T31" s="54"/>
      <c r="U31" s="54"/>
      <c r="V31" s="54"/>
      <c r="W31" s="54"/>
      <c r="X31" s="54"/>
    </row>
    <row r="32" spans="1:24" customFormat="1" ht="12.75" customHeight="1" x14ac:dyDescent="0.2">
      <c r="A32" s="58" t="s">
        <v>2029</v>
      </c>
      <c r="B32" s="53" t="s">
        <v>697</v>
      </c>
      <c r="C32" s="59" t="s">
        <v>2029</v>
      </c>
      <c r="D32" s="272">
        <v>0</v>
      </c>
      <c r="E32" s="272">
        <v>0</v>
      </c>
      <c r="F32" s="60" t="str">
        <f t="shared" si="0"/>
        <v>-</v>
      </c>
      <c r="G32" s="54"/>
      <c r="H32" s="54"/>
      <c r="I32" s="54"/>
      <c r="J32" s="54"/>
      <c r="K32" s="54"/>
      <c r="L32" s="54"/>
      <c r="M32" s="54"/>
      <c r="N32" s="54"/>
      <c r="O32" s="54"/>
      <c r="P32" s="54"/>
      <c r="Q32" s="54"/>
      <c r="R32" s="54"/>
      <c r="S32" s="54"/>
      <c r="T32" s="54"/>
      <c r="U32" s="54"/>
      <c r="V32" s="54"/>
      <c r="W32" s="54"/>
      <c r="X32" s="54"/>
    </row>
    <row r="33" spans="1:24" customFormat="1" ht="12.75" customHeight="1" x14ac:dyDescent="0.2">
      <c r="A33" s="58" t="s">
        <v>2030</v>
      </c>
      <c r="B33" s="53" t="s">
        <v>699</v>
      </c>
      <c r="C33" s="59" t="s">
        <v>2030</v>
      </c>
      <c r="D33" s="272">
        <v>0</v>
      </c>
      <c r="E33" s="272">
        <v>0</v>
      </c>
      <c r="F33" s="60" t="str">
        <f t="shared" si="0"/>
        <v>-</v>
      </c>
      <c r="G33" s="54"/>
      <c r="H33" s="54"/>
      <c r="I33" s="54"/>
      <c r="J33" s="54"/>
      <c r="K33" s="54"/>
      <c r="L33" s="54"/>
      <c r="M33" s="54"/>
      <c r="N33" s="54"/>
      <c r="O33" s="54"/>
      <c r="P33" s="54"/>
      <c r="Q33" s="54"/>
      <c r="R33" s="54"/>
      <c r="S33" s="54"/>
      <c r="T33" s="54"/>
      <c r="U33" s="54"/>
      <c r="V33" s="54"/>
      <c r="W33" s="54"/>
      <c r="X33" s="54"/>
    </row>
    <row r="34" spans="1:24" customFormat="1" ht="12.75" customHeight="1" x14ac:dyDescent="0.2">
      <c r="A34" s="58" t="s">
        <v>2031</v>
      </c>
      <c r="B34" s="53" t="s">
        <v>2032</v>
      </c>
      <c r="C34" s="59" t="s">
        <v>2031</v>
      </c>
      <c r="D34" s="272">
        <v>0</v>
      </c>
      <c r="E34" s="272">
        <v>0</v>
      </c>
      <c r="F34" s="60" t="str">
        <f t="shared" si="0"/>
        <v>-</v>
      </c>
      <c r="G34" s="54"/>
      <c r="H34" s="54"/>
      <c r="I34" s="54"/>
      <c r="J34" s="54"/>
      <c r="K34" s="54"/>
      <c r="L34" s="54"/>
      <c r="M34" s="54"/>
      <c r="N34" s="54"/>
      <c r="O34" s="54"/>
      <c r="P34" s="54"/>
      <c r="Q34" s="54"/>
      <c r="R34" s="54"/>
      <c r="S34" s="54"/>
      <c r="T34" s="54"/>
      <c r="U34" s="54"/>
      <c r="V34" s="54"/>
      <c r="W34" s="54"/>
      <c r="X34" s="54"/>
    </row>
    <row r="35" spans="1:24" customFormat="1" ht="24" customHeight="1" x14ac:dyDescent="0.2">
      <c r="A35" s="61" t="s">
        <v>2033</v>
      </c>
      <c r="B35" s="53" t="s">
        <v>2034</v>
      </c>
      <c r="C35" s="59" t="s">
        <v>2033</v>
      </c>
      <c r="D35" s="271">
        <f>SUM(D36:D39)-D40</f>
        <v>617.71</v>
      </c>
      <c r="E35" s="271">
        <f>SUM(E36:E39)-E40</f>
        <v>550.9699999999998</v>
      </c>
      <c r="F35" s="60">
        <f t="shared" si="0"/>
        <v>89.19557721260783</v>
      </c>
      <c r="G35" s="54"/>
      <c r="H35" s="54"/>
      <c r="I35" s="54"/>
      <c r="J35" s="54"/>
      <c r="K35" s="54"/>
      <c r="L35" s="54"/>
      <c r="M35" s="54"/>
      <c r="N35" s="54"/>
      <c r="O35" s="54"/>
      <c r="P35" s="54"/>
      <c r="Q35" s="54"/>
      <c r="R35" s="54"/>
      <c r="S35" s="54"/>
      <c r="T35" s="54"/>
      <c r="U35" s="54"/>
      <c r="V35" s="54"/>
      <c r="W35" s="54"/>
      <c r="X35" s="54"/>
    </row>
    <row r="36" spans="1:24" customFormat="1" ht="12.75" customHeight="1" x14ac:dyDescent="0.2">
      <c r="A36" s="58" t="s">
        <v>2035</v>
      </c>
      <c r="B36" s="53" t="s">
        <v>784</v>
      </c>
      <c r="C36" s="59" t="s">
        <v>2035</v>
      </c>
      <c r="D36" s="272">
        <v>2865.79</v>
      </c>
      <c r="E36" s="272">
        <v>2942.6</v>
      </c>
      <c r="F36" s="60">
        <f t="shared" si="0"/>
        <v>102.68023825890941</v>
      </c>
      <c r="G36" s="54"/>
      <c r="H36" s="54"/>
      <c r="I36" s="54"/>
      <c r="J36" s="54"/>
      <c r="K36" s="54"/>
      <c r="L36" s="54"/>
      <c r="M36" s="54"/>
      <c r="N36" s="54"/>
      <c r="O36" s="54"/>
      <c r="P36" s="54"/>
      <c r="Q36" s="54"/>
      <c r="R36" s="54"/>
      <c r="S36" s="54"/>
      <c r="T36" s="54"/>
      <c r="U36" s="54"/>
      <c r="V36" s="54"/>
      <c r="W36" s="54"/>
      <c r="X36" s="54"/>
    </row>
    <row r="37" spans="1:24" customFormat="1" ht="12.75" customHeight="1" x14ac:dyDescent="0.2">
      <c r="A37" s="58" t="s">
        <v>2036</v>
      </c>
      <c r="B37" s="53" t="s">
        <v>705</v>
      </c>
      <c r="C37" s="59" t="s">
        <v>2036</v>
      </c>
      <c r="D37" s="272">
        <v>0</v>
      </c>
      <c r="E37" s="272">
        <v>0</v>
      </c>
      <c r="F37" s="60" t="str">
        <f t="shared" si="0"/>
        <v>-</v>
      </c>
      <c r="G37" s="54"/>
      <c r="H37" s="54"/>
      <c r="I37" s="54"/>
      <c r="J37" s="54"/>
      <c r="K37" s="54"/>
      <c r="L37" s="54"/>
      <c r="M37" s="54"/>
      <c r="N37" s="54"/>
      <c r="O37" s="54"/>
      <c r="P37" s="54"/>
      <c r="Q37" s="54"/>
      <c r="R37" s="54"/>
      <c r="S37" s="54"/>
      <c r="T37" s="54"/>
      <c r="U37" s="54"/>
      <c r="V37" s="54"/>
      <c r="W37" s="54"/>
      <c r="X37" s="54"/>
    </row>
    <row r="38" spans="1:24" customFormat="1" ht="12.75" customHeight="1" x14ac:dyDescent="0.2">
      <c r="A38" s="58" t="s">
        <v>2037</v>
      </c>
      <c r="B38" s="53" t="s">
        <v>707</v>
      </c>
      <c r="C38" s="59" t="s">
        <v>2037</v>
      </c>
      <c r="D38" s="272">
        <v>0</v>
      </c>
      <c r="E38" s="272">
        <v>0</v>
      </c>
      <c r="F38" s="60" t="str">
        <f t="shared" ref="F38:F69" si="1">IF(D38&gt;0,IF(E38/D38&gt;=100,"&gt;&gt;100",E38/D38*100),"-")</f>
        <v>-</v>
      </c>
      <c r="G38" s="54"/>
      <c r="H38" s="54"/>
      <c r="I38" s="54"/>
      <c r="J38" s="54"/>
      <c r="K38" s="54"/>
      <c r="L38" s="54"/>
      <c r="M38" s="54"/>
      <c r="N38" s="54"/>
      <c r="O38" s="54"/>
      <c r="P38" s="54"/>
      <c r="Q38" s="54"/>
      <c r="R38" s="54"/>
      <c r="S38" s="54"/>
      <c r="T38" s="54"/>
      <c r="U38" s="54"/>
      <c r="V38" s="54"/>
      <c r="W38" s="54"/>
      <c r="X38" s="54"/>
    </row>
    <row r="39" spans="1:24" customFormat="1" ht="12.75" customHeight="1" x14ac:dyDescent="0.2">
      <c r="A39" s="58" t="s">
        <v>2038</v>
      </c>
      <c r="B39" s="53" t="s">
        <v>709</v>
      </c>
      <c r="C39" s="59" t="s">
        <v>2038</v>
      </c>
      <c r="D39" s="272">
        <v>0</v>
      </c>
      <c r="E39" s="272">
        <v>0</v>
      </c>
      <c r="F39" s="60" t="str">
        <f t="shared" si="1"/>
        <v>-</v>
      </c>
      <c r="G39" s="54"/>
      <c r="H39" s="54"/>
      <c r="I39" s="54"/>
      <c r="J39" s="54"/>
      <c r="K39" s="54"/>
      <c r="L39" s="54"/>
      <c r="M39" s="54"/>
      <c r="N39" s="54"/>
      <c r="O39" s="54"/>
      <c r="P39" s="54"/>
      <c r="Q39" s="54"/>
      <c r="R39" s="54"/>
      <c r="S39" s="54"/>
      <c r="T39" s="54"/>
      <c r="U39" s="54"/>
      <c r="V39" s="54"/>
      <c r="W39" s="54"/>
      <c r="X39" s="54"/>
    </row>
    <row r="40" spans="1:24" customFormat="1" ht="12.75" customHeight="1" x14ac:dyDescent="0.2">
      <c r="A40" s="58" t="s">
        <v>2039</v>
      </c>
      <c r="B40" s="53" t="s">
        <v>2040</v>
      </c>
      <c r="C40" s="59" t="s">
        <v>2039</v>
      </c>
      <c r="D40" s="272">
        <v>2248.08</v>
      </c>
      <c r="E40" s="272">
        <v>2391.63</v>
      </c>
      <c r="F40" s="60">
        <f t="shared" si="1"/>
        <v>106.38544891640869</v>
      </c>
      <c r="G40" s="54"/>
      <c r="H40" s="54"/>
      <c r="I40" s="54"/>
      <c r="J40" s="54"/>
      <c r="K40" s="54"/>
      <c r="L40" s="54"/>
      <c r="M40" s="54"/>
      <c r="N40" s="54"/>
      <c r="O40" s="54"/>
      <c r="P40" s="54"/>
      <c r="Q40" s="54"/>
      <c r="R40" s="54"/>
      <c r="S40" s="54"/>
      <c r="T40" s="54"/>
      <c r="U40" s="54"/>
      <c r="V40" s="54"/>
      <c r="W40" s="54"/>
      <c r="X40" s="54"/>
    </row>
    <row r="41" spans="1:24" customFormat="1" ht="12.75" customHeight="1" x14ac:dyDescent="0.2">
      <c r="A41" s="61" t="s">
        <v>2041</v>
      </c>
      <c r="B41" s="53" t="s">
        <v>2042</v>
      </c>
      <c r="C41" s="59" t="s">
        <v>2041</v>
      </c>
      <c r="D41" s="271">
        <f>SUM(D42:D43)-D44</f>
        <v>0.65</v>
      </c>
      <c r="E41" s="271">
        <f>SUM(E42:E43)-E44</f>
        <v>0.65</v>
      </c>
      <c r="F41" s="60">
        <f t="shared" si="1"/>
        <v>100</v>
      </c>
      <c r="G41" s="54"/>
      <c r="H41" s="54"/>
      <c r="I41" s="54"/>
      <c r="J41" s="54"/>
      <c r="K41" s="54"/>
      <c r="L41" s="54"/>
      <c r="M41" s="54"/>
      <c r="N41" s="54"/>
      <c r="O41" s="54"/>
      <c r="P41" s="54"/>
      <c r="Q41" s="54"/>
      <c r="R41" s="54"/>
      <c r="S41" s="54"/>
      <c r="T41" s="54"/>
      <c r="U41" s="54"/>
      <c r="V41" s="54"/>
      <c r="W41" s="54"/>
      <c r="X41" s="54"/>
    </row>
    <row r="42" spans="1:24" customFormat="1" ht="12.75" customHeight="1" x14ac:dyDescent="0.2">
      <c r="A42" s="58" t="s">
        <v>2043</v>
      </c>
      <c r="B42" s="53" t="s">
        <v>713</v>
      </c>
      <c r="C42" s="59" t="s">
        <v>2043</v>
      </c>
      <c r="D42" s="272">
        <v>0.65</v>
      </c>
      <c r="E42" s="272">
        <v>0.65</v>
      </c>
      <c r="F42" s="60">
        <f t="shared" si="1"/>
        <v>100</v>
      </c>
      <c r="G42" s="54"/>
      <c r="H42" s="54"/>
      <c r="I42" s="54"/>
      <c r="J42" s="54"/>
      <c r="K42" s="54"/>
      <c r="L42" s="54"/>
      <c r="M42" s="54"/>
      <c r="N42" s="54"/>
      <c r="O42" s="54"/>
      <c r="P42" s="54"/>
      <c r="Q42" s="54"/>
      <c r="R42" s="54"/>
      <c r="S42" s="54"/>
      <c r="T42" s="54"/>
      <c r="U42" s="54"/>
      <c r="V42" s="54"/>
      <c r="W42" s="54"/>
      <c r="X42" s="54"/>
    </row>
    <row r="43" spans="1:24" customFormat="1" ht="12.75" customHeight="1" x14ac:dyDescent="0.2">
      <c r="A43" s="58" t="s">
        <v>2044</v>
      </c>
      <c r="B43" s="53" t="s">
        <v>715</v>
      </c>
      <c r="C43" s="59" t="s">
        <v>2044</v>
      </c>
      <c r="D43" s="272">
        <v>0</v>
      </c>
      <c r="E43" s="272">
        <v>0</v>
      </c>
      <c r="F43" s="60" t="str">
        <f t="shared" si="1"/>
        <v>-</v>
      </c>
      <c r="G43" s="54"/>
      <c r="H43" s="54"/>
      <c r="I43" s="54"/>
      <c r="J43" s="54"/>
      <c r="K43" s="54"/>
      <c r="L43" s="54"/>
      <c r="M43" s="54"/>
      <c r="N43" s="54"/>
      <c r="O43" s="54"/>
      <c r="P43" s="54"/>
      <c r="Q43" s="54"/>
      <c r="R43" s="54"/>
      <c r="S43" s="54"/>
      <c r="T43" s="54"/>
      <c r="U43" s="54"/>
      <c r="V43" s="54"/>
      <c r="W43" s="54"/>
      <c r="X43" s="54"/>
    </row>
    <row r="44" spans="1:24" customFormat="1" ht="12.75" customHeight="1" x14ac:dyDescent="0.2">
      <c r="A44" s="58" t="s">
        <v>2045</v>
      </c>
      <c r="B44" s="53" t="s">
        <v>2046</v>
      </c>
      <c r="C44" s="59" t="s">
        <v>2045</v>
      </c>
      <c r="D44" s="272">
        <v>0</v>
      </c>
      <c r="E44" s="272">
        <v>0</v>
      </c>
      <c r="F44" s="60" t="str">
        <f t="shared" si="1"/>
        <v>-</v>
      </c>
      <c r="G44" s="54"/>
      <c r="H44" s="54"/>
      <c r="I44" s="54"/>
      <c r="J44" s="54"/>
      <c r="K44" s="54"/>
      <c r="L44" s="54"/>
      <c r="M44" s="54"/>
      <c r="N44" s="54"/>
      <c r="O44" s="54"/>
      <c r="P44" s="54"/>
      <c r="Q44" s="54"/>
      <c r="R44" s="54"/>
      <c r="S44" s="54"/>
      <c r="T44" s="54"/>
      <c r="U44" s="54"/>
      <c r="V44" s="54"/>
      <c r="W44" s="54"/>
      <c r="X44" s="54"/>
    </row>
    <row r="45" spans="1:24" customFormat="1" ht="12.75" customHeight="1" x14ac:dyDescent="0.2">
      <c r="A45" s="61" t="s">
        <v>2047</v>
      </c>
      <c r="B45" s="53" t="s">
        <v>2048</v>
      </c>
      <c r="C45" s="59" t="s">
        <v>2047</v>
      </c>
      <c r="D45" s="271">
        <f>SUM(D46:D49)-D50</f>
        <v>80319.19</v>
      </c>
      <c r="E45" s="271">
        <f>SUM(E46:E49)-E50</f>
        <v>72582.460000000006</v>
      </c>
      <c r="F45" s="60">
        <f t="shared" si="1"/>
        <v>90.367519891572613</v>
      </c>
      <c r="G45" s="54"/>
      <c r="H45" s="54"/>
      <c r="I45" s="54"/>
      <c r="J45" s="54"/>
      <c r="K45" s="54"/>
      <c r="L45" s="54"/>
      <c r="M45" s="54"/>
      <c r="N45" s="54"/>
      <c r="O45" s="54"/>
      <c r="P45" s="54"/>
      <c r="Q45" s="54"/>
      <c r="R45" s="54"/>
      <c r="S45" s="54"/>
      <c r="T45" s="54"/>
      <c r="U45" s="54"/>
      <c r="V45" s="54"/>
      <c r="W45" s="54"/>
      <c r="X45" s="54"/>
    </row>
    <row r="46" spans="1:24" customFormat="1" ht="12.75" customHeight="1" x14ac:dyDescent="0.2">
      <c r="A46" s="58" t="s">
        <v>2049</v>
      </c>
      <c r="B46" s="53" t="s">
        <v>719</v>
      </c>
      <c r="C46" s="59" t="s">
        <v>2049</v>
      </c>
      <c r="D46" s="272">
        <v>0</v>
      </c>
      <c r="E46" s="272">
        <v>0</v>
      </c>
      <c r="F46" s="60" t="str">
        <f t="shared" si="1"/>
        <v>-</v>
      </c>
      <c r="G46" s="54"/>
      <c r="H46" s="54"/>
      <c r="I46" s="54"/>
      <c r="J46" s="54"/>
      <c r="K46" s="54"/>
      <c r="L46" s="54"/>
      <c r="M46" s="54"/>
      <c r="N46" s="54"/>
      <c r="O46" s="54"/>
      <c r="P46" s="54"/>
      <c r="Q46" s="54"/>
      <c r="R46" s="54"/>
      <c r="S46" s="54"/>
      <c r="T46" s="54"/>
      <c r="U46" s="54"/>
      <c r="V46" s="54"/>
      <c r="W46" s="54"/>
      <c r="X46" s="54"/>
    </row>
    <row r="47" spans="1:24" customFormat="1" ht="12.75" customHeight="1" x14ac:dyDescent="0.2">
      <c r="A47" s="58" t="s">
        <v>2050</v>
      </c>
      <c r="B47" s="53" t="s">
        <v>2051</v>
      </c>
      <c r="C47" s="59" t="s">
        <v>2050</v>
      </c>
      <c r="D47" s="272">
        <v>322.5</v>
      </c>
      <c r="E47" s="272">
        <v>322.5</v>
      </c>
      <c r="F47" s="60">
        <f t="shared" si="1"/>
        <v>100</v>
      </c>
      <c r="G47" s="54"/>
      <c r="H47" s="54"/>
      <c r="I47" s="54"/>
      <c r="J47" s="54"/>
      <c r="K47" s="54"/>
      <c r="L47" s="54"/>
      <c r="M47" s="54"/>
      <c r="N47" s="54"/>
      <c r="O47" s="54"/>
      <c r="P47" s="54"/>
      <c r="Q47" s="54"/>
      <c r="R47" s="54"/>
      <c r="S47" s="54"/>
      <c r="T47" s="54"/>
      <c r="U47" s="54"/>
      <c r="V47" s="54"/>
      <c r="W47" s="54"/>
      <c r="X47" s="54"/>
    </row>
    <row r="48" spans="1:24" customFormat="1" ht="12.75" customHeight="1" x14ac:dyDescent="0.2">
      <c r="A48" s="58" t="s">
        <v>2052</v>
      </c>
      <c r="B48" s="53" t="s">
        <v>723</v>
      </c>
      <c r="C48" s="59" t="s">
        <v>2052</v>
      </c>
      <c r="D48" s="272">
        <v>66605.009999999995</v>
      </c>
      <c r="E48" s="272">
        <v>66605.009999999995</v>
      </c>
      <c r="F48" s="60">
        <f t="shared" si="1"/>
        <v>100</v>
      </c>
      <c r="G48" s="54"/>
      <c r="H48" s="54"/>
      <c r="I48" s="54"/>
      <c r="J48" s="54"/>
      <c r="K48" s="54"/>
      <c r="L48" s="54"/>
      <c r="M48" s="54"/>
      <c r="N48" s="54"/>
      <c r="O48" s="54"/>
      <c r="P48" s="54"/>
      <c r="Q48" s="54"/>
      <c r="R48" s="54"/>
      <c r="S48" s="54"/>
      <c r="T48" s="54"/>
      <c r="U48" s="54"/>
      <c r="V48" s="54"/>
      <c r="W48" s="54"/>
      <c r="X48" s="54"/>
    </row>
    <row r="49" spans="1:24" customFormat="1" ht="12.75" customHeight="1" x14ac:dyDescent="0.2">
      <c r="A49" s="58" t="s">
        <v>2053</v>
      </c>
      <c r="B49" s="53" t="s">
        <v>725</v>
      </c>
      <c r="C49" s="59" t="s">
        <v>2053</v>
      </c>
      <c r="D49" s="272">
        <v>112213.21</v>
      </c>
      <c r="E49" s="272">
        <v>114088.21</v>
      </c>
      <c r="F49" s="60">
        <f t="shared" si="1"/>
        <v>101.67092626616775</v>
      </c>
      <c r="G49" s="54"/>
      <c r="H49" s="54"/>
      <c r="I49" s="54"/>
      <c r="J49" s="54"/>
      <c r="K49" s="54"/>
      <c r="L49" s="54"/>
      <c r="M49" s="54"/>
      <c r="N49" s="54"/>
      <c r="O49" s="54"/>
      <c r="P49" s="54"/>
      <c r="Q49" s="54"/>
      <c r="R49" s="54"/>
      <c r="S49" s="54"/>
      <c r="T49" s="54"/>
      <c r="U49" s="54"/>
      <c r="V49" s="54"/>
      <c r="W49" s="54"/>
      <c r="X49" s="54"/>
    </row>
    <row r="50" spans="1:24" customFormat="1" ht="12.75" customHeight="1" x14ac:dyDescent="0.2">
      <c r="A50" s="58" t="s">
        <v>2054</v>
      </c>
      <c r="B50" s="53" t="s">
        <v>2055</v>
      </c>
      <c r="C50" s="59" t="s">
        <v>2054</v>
      </c>
      <c r="D50" s="272">
        <v>98821.53</v>
      </c>
      <c r="E50" s="272">
        <v>108433.26</v>
      </c>
      <c r="F50" s="60">
        <f t="shared" si="1"/>
        <v>109.72635214208888</v>
      </c>
      <c r="G50" s="54"/>
      <c r="H50" s="54"/>
      <c r="I50" s="54"/>
      <c r="J50" s="54"/>
      <c r="K50" s="54"/>
      <c r="L50" s="54"/>
      <c r="M50" s="54"/>
      <c r="N50" s="54"/>
      <c r="O50" s="54"/>
      <c r="P50" s="54"/>
      <c r="Q50" s="54"/>
      <c r="R50" s="54"/>
      <c r="S50" s="54"/>
      <c r="T50" s="54"/>
      <c r="U50" s="54"/>
      <c r="V50" s="54"/>
      <c r="W50" s="54"/>
      <c r="X50" s="54"/>
    </row>
    <row r="51" spans="1:24" customFormat="1" ht="12.75" customHeight="1" x14ac:dyDescent="0.2">
      <c r="A51" s="58" t="s">
        <v>2056</v>
      </c>
      <c r="B51" s="53" t="s">
        <v>2057</v>
      </c>
      <c r="C51" s="59" t="s">
        <v>2056</v>
      </c>
      <c r="D51" s="272">
        <v>0</v>
      </c>
      <c r="E51" s="272">
        <v>0</v>
      </c>
      <c r="F51" s="60" t="str">
        <f t="shared" si="1"/>
        <v>-</v>
      </c>
      <c r="G51" s="54"/>
      <c r="H51" s="54"/>
      <c r="I51" s="54"/>
      <c r="J51" s="54"/>
      <c r="K51" s="54"/>
      <c r="L51" s="54"/>
      <c r="M51" s="54"/>
      <c r="N51" s="54"/>
      <c r="O51" s="54"/>
      <c r="P51" s="54"/>
      <c r="Q51" s="54"/>
      <c r="R51" s="54"/>
      <c r="S51" s="54"/>
      <c r="T51" s="54"/>
      <c r="U51" s="54"/>
      <c r="V51" s="54"/>
      <c r="W51" s="54"/>
      <c r="X51" s="54"/>
    </row>
    <row r="52" spans="1:24" customFormat="1" ht="12.75" customHeight="1" x14ac:dyDescent="0.2">
      <c r="A52" s="58" t="s">
        <v>2058</v>
      </c>
      <c r="B52" s="53" t="s">
        <v>2059</v>
      </c>
      <c r="C52" s="59" t="s">
        <v>2058</v>
      </c>
      <c r="D52" s="271">
        <f>SUM(D53:D54)-D55</f>
        <v>0</v>
      </c>
      <c r="E52" s="271">
        <f>SUM(E53:E54)-E55</f>
        <v>0</v>
      </c>
      <c r="F52" s="60" t="str">
        <f t="shared" si="1"/>
        <v>-</v>
      </c>
      <c r="G52" s="54"/>
      <c r="H52" s="54"/>
      <c r="I52" s="54"/>
      <c r="J52" s="54"/>
      <c r="K52" s="54"/>
      <c r="L52" s="54"/>
      <c r="M52" s="54"/>
      <c r="N52" s="54"/>
      <c r="O52" s="54"/>
      <c r="P52" s="54"/>
      <c r="Q52" s="54"/>
      <c r="R52" s="54"/>
      <c r="S52" s="54"/>
      <c r="T52" s="54"/>
      <c r="U52" s="54"/>
      <c r="V52" s="54"/>
      <c r="W52" s="54"/>
      <c r="X52" s="54"/>
    </row>
    <row r="53" spans="1:24" customFormat="1" ht="12.75" customHeight="1" x14ac:dyDescent="0.2">
      <c r="A53" s="58" t="s">
        <v>2060</v>
      </c>
      <c r="B53" s="53" t="s">
        <v>2061</v>
      </c>
      <c r="C53" s="59" t="s">
        <v>2060</v>
      </c>
      <c r="D53" s="272">
        <v>0</v>
      </c>
      <c r="E53" s="272">
        <v>0</v>
      </c>
      <c r="F53" s="60" t="str">
        <f t="shared" si="1"/>
        <v>-</v>
      </c>
      <c r="G53" s="54"/>
      <c r="H53" s="54"/>
      <c r="I53" s="54"/>
      <c r="J53" s="54"/>
      <c r="K53" s="54"/>
      <c r="L53" s="54"/>
      <c r="M53" s="54"/>
      <c r="N53" s="54"/>
      <c r="O53" s="54"/>
      <c r="P53" s="54"/>
      <c r="Q53" s="54"/>
      <c r="R53" s="54"/>
      <c r="S53" s="54"/>
      <c r="T53" s="54"/>
      <c r="U53" s="54"/>
      <c r="V53" s="54"/>
      <c r="W53" s="54"/>
      <c r="X53" s="54"/>
    </row>
    <row r="54" spans="1:24" customFormat="1" ht="12.75" customHeight="1" x14ac:dyDescent="0.2">
      <c r="A54" s="58" t="s">
        <v>2062</v>
      </c>
      <c r="B54" s="53" t="s">
        <v>2063</v>
      </c>
      <c r="C54" s="59" t="s">
        <v>2062</v>
      </c>
      <c r="D54" s="272">
        <v>12741.48</v>
      </c>
      <c r="E54" s="272">
        <v>13593.83</v>
      </c>
      <c r="F54" s="60">
        <f t="shared" si="1"/>
        <v>106.68956824481927</v>
      </c>
      <c r="G54" s="54"/>
      <c r="H54" s="54"/>
      <c r="I54" s="54"/>
      <c r="J54" s="54"/>
      <c r="K54" s="54"/>
      <c r="L54" s="54"/>
      <c r="M54" s="54"/>
      <c r="N54" s="54"/>
      <c r="O54" s="54"/>
      <c r="P54" s="54"/>
      <c r="Q54" s="54"/>
      <c r="R54" s="54"/>
      <c r="S54" s="54"/>
      <c r="T54" s="54"/>
      <c r="U54" s="54"/>
      <c r="V54" s="54"/>
      <c r="W54" s="54"/>
      <c r="X54" s="54"/>
    </row>
    <row r="55" spans="1:24" customFormat="1" ht="12.75" customHeight="1" x14ac:dyDescent="0.2">
      <c r="A55" s="58" t="s">
        <v>2064</v>
      </c>
      <c r="B55" s="53" t="s">
        <v>2065</v>
      </c>
      <c r="C55" s="59" t="s">
        <v>2064</v>
      </c>
      <c r="D55" s="272">
        <v>12741.48</v>
      </c>
      <c r="E55" s="272">
        <v>13593.83</v>
      </c>
      <c r="F55" s="60">
        <f t="shared" si="1"/>
        <v>106.68956824481927</v>
      </c>
      <c r="G55" s="54"/>
      <c r="H55" s="54"/>
      <c r="I55" s="54"/>
      <c r="J55" s="54"/>
      <c r="K55" s="54"/>
      <c r="L55" s="54"/>
      <c r="M55" s="54"/>
      <c r="N55" s="54"/>
      <c r="O55" s="54"/>
      <c r="P55" s="54"/>
      <c r="Q55" s="54"/>
      <c r="R55" s="54"/>
      <c r="S55" s="54"/>
      <c r="T55" s="54"/>
      <c r="U55" s="54"/>
      <c r="V55" s="54"/>
      <c r="W55" s="54"/>
      <c r="X55" s="54"/>
    </row>
    <row r="56" spans="1:24" customFormat="1" ht="12.75" customHeight="1" x14ac:dyDescent="0.2">
      <c r="A56" s="58" t="s">
        <v>2066</v>
      </c>
      <c r="B56" s="53" t="s">
        <v>2067</v>
      </c>
      <c r="C56" s="59" t="s">
        <v>2066</v>
      </c>
      <c r="D56" s="271">
        <f>SUM(D57:D62)</f>
        <v>184707.05</v>
      </c>
      <c r="E56" s="271">
        <f>SUM(E57:E62)</f>
        <v>595628.03</v>
      </c>
      <c r="F56" s="60">
        <f t="shared" si="1"/>
        <v>322.47173564842274</v>
      </c>
      <c r="G56" s="54"/>
      <c r="H56" s="54"/>
      <c r="I56" s="54"/>
      <c r="J56" s="54"/>
      <c r="K56" s="54"/>
      <c r="L56" s="54"/>
      <c r="M56" s="54"/>
      <c r="N56" s="54"/>
      <c r="O56" s="54"/>
      <c r="P56" s="54"/>
      <c r="Q56" s="54"/>
      <c r="R56" s="54"/>
      <c r="S56" s="54"/>
      <c r="T56" s="54"/>
      <c r="U56" s="54"/>
      <c r="V56" s="54"/>
      <c r="W56" s="54"/>
      <c r="X56" s="54"/>
    </row>
    <row r="57" spans="1:24" customFormat="1" ht="12.75" customHeight="1" x14ac:dyDescent="0.2">
      <c r="A57" s="58" t="s">
        <v>2068</v>
      </c>
      <c r="B57" s="53" t="s">
        <v>2069</v>
      </c>
      <c r="C57" s="59" t="s">
        <v>2068</v>
      </c>
      <c r="D57" s="272">
        <v>158524.99</v>
      </c>
      <c r="E57" s="272">
        <v>569445.97</v>
      </c>
      <c r="F57" s="60">
        <f t="shared" si="1"/>
        <v>359.21526946634725</v>
      </c>
      <c r="G57" s="54"/>
      <c r="H57" s="54"/>
      <c r="I57" s="54"/>
      <c r="J57" s="54"/>
      <c r="K57" s="54"/>
      <c r="L57" s="54"/>
      <c r="M57" s="54"/>
      <c r="N57" s="54"/>
      <c r="O57" s="54"/>
      <c r="P57" s="54"/>
      <c r="Q57" s="54"/>
      <c r="R57" s="54"/>
      <c r="S57" s="54"/>
      <c r="T57" s="54"/>
      <c r="U57" s="54"/>
      <c r="V57" s="54"/>
      <c r="W57" s="54"/>
      <c r="X57" s="54"/>
    </row>
    <row r="58" spans="1:24" customFormat="1" ht="12.75" customHeight="1" x14ac:dyDescent="0.2">
      <c r="A58" s="58" t="s">
        <v>2070</v>
      </c>
      <c r="B58" s="53" t="s">
        <v>2071</v>
      </c>
      <c r="C58" s="59" t="s">
        <v>2070</v>
      </c>
      <c r="D58" s="272">
        <v>0</v>
      </c>
      <c r="E58" s="272">
        <v>0</v>
      </c>
      <c r="F58" s="60" t="str">
        <f t="shared" si="1"/>
        <v>-</v>
      </c>
      <c r="G58" s="54"/>
      <c r="H58" s="54"/>
      <c r="I58" s="54"/>
      <c r="J58" s="54"/>
      <c r="K58" s="54"/>
      <c r="L58" s="54"/>
      <c r="M58" s="54"/>
      <c r="N58" s="54"/>
      <c r="O58" s="54"/>
      <c r="P58" s="54"/>
      <c r="Q58" s="54"/>
      <c r="R58" s="54"/>
      <c r="S58" s="54"/>
      <c r="T58" s="54"/>
      <c r="U58" s="54"/>
      <c r="V58" s="54"/>
      <c r="W58" s="54"/>
      <c r="X58" s="54"/>
    </row>
    <row r="59" spans="1:24" customFormat="1" ht="12.75" customHeight="1" x14ac:dyDescent="0.2">
      <c r="A59" s="58" t="s">
        <v>2072</v>
      </c>
      <c r="B59" s="53" t="s">
        <v>2073</v>
      </c>
      <c r="C59" s="59" t="s">
        <v>2072</v>
      </c>
      <c r="D59" s="272">
        <v>0</v>
      </c>
      <c r="E59" s="272">
        <v>0</v>
      </c>
      <c r="F59" s="60" t="str">
        <f t="shared" si="1"/>
        <v>-</v>
      </c>
      <c r="G59" s="54"/>
      <c r="H59" s="54"/>
      <c r="I59" s="54"/>
      <c r="J59" s="54"/>
      <c r="K59" s="54"/>
      <c r="L59" s="54"/>
      <c r="M59" s="54"/>
      <c r="N59" s="54"/>
      <c r="O59" s="54"/>
      <c r="P59" s="54"/>
      <c r="Q59" s="54"/>
      <c r="R59" s="54"/>
      <c r="S59" s="54"/>
      <c r="T59" s="54"/>
      <c r="U59" s="54"/>
      <c r="V59" s="54"/>
      <c r="W59" s="54"/>
      <c r="X59" s="54"/>
    </row>
    <row r="60" spans="1:24" customFormat="1" ht="12.75" customHeight="1" x14ac:dyDescent="0.2">
      <c r="A60" s="58" t="s">
        <v>2074</v>
      </c>
      <c r="B60" s="53" t="s">
        <v>2075</v>
      </c>
      <c r="C60" s="59" t="s">
        <v>2074</v>
      </c>
      <c r="D60" s="272">
        <v>0</v>
      </c>
      <c r="E60" s="272">
        <v>0</v>
      </c>
      <c r="F60" s="60" t="str">
        <f t="shared" si="1"/>
        <v>-</v>
      </c>
      <c r="G60" s="54"/>
      <c r="H60" s="54"/>
      <c r="I60" s="54"/>
      <c r="J60" s="54"/>
      <c r="K60" s="54"/>
      <c r="L60" s="54"/>
      <c r="M60" s="54"/>
      <c r="N60" s="54"/>
      <c r="O60" s="54"/>
      <c r="P60" s="54"/>
      <c r="Q60" s="54"/>
      <c r="R60" s="54"/>
      <c r="S60" s="54"/>
      <c r="T60" s="54"/>
      <c r="U60" s="54"/>
      <c r="V60" s="54"/>
      <c r="W60" s="54"/>
      <c r="X60" s="54"/>
    </row>
    <row r="61" spans="1:24" customFormat="1" ht="12.75" customHeight="1" x14ac:dyDescent="0.2">
      <c r="A61" s="58" t="s">
        <v>2076</v>
      </c>
      <c r="B61" s="53" t="s">
        <v>2077</v>
      </c>
      <c r="C61" s="59" t="s">
        <v>2076</v>
      </c>
      <c r="D61" s="272">
        <v>26182.06</v>
      </c>
      <c r="E61" s="272">
        <v>26182.06</v>
      </c>
      <c r="F61" s="60">
        <f t="shared" si="1"/>
        <v>100</v>
      </c>
      <c r="G61" s="54"/>
      <c r="H61" s="54"/>
      <c r="I61" s="54"/>
      <c r="J61" s="54"/>
      <c r="K61" s="54"/>
      <c r="L61" s="54"/>
      <c r="M61" s="54"/>
      <c r="N61" s="54"/>
      <c r="O61" s="54"/>
      <c r="P61" s="54"/>
      <c r="Q61" s="54"/>
      <c r="R61" s="54"/>
      <c r="S61" s="54"/>
      <c r="T61" s="54"/>
      <c r="U61" s="54"/>
      <c r="V61" s="54"/>
      <c r="W61" s="54"/>
      <c r="X61" s="54"/>
    </row>
    <row r="62" spans="1:24" customFormat="1" ht="12.75" customHeight="1" x14ac:dyDescent="0.2">
      <c r="A62" s="58" t="s">
        <v>2078</v>
      </c>
      <c r="B62" s="53" t="s">
        <v>2079</v>
      </c>
      <c r="C62" s="59" t="s">
        <v>2078</v>
      </c>
      <c r="D62" s="272">
        <v>0</v>
      </c>
      <c r="E62" s="272">
        <v>0</v>
      </c>
      <c r="F62" s="60" t="str">
        <f t="shared" si="1"/>
        <v>-</v>
      </c>
      <c r="G62" s="54"/>
      <c r="H62" s="54"/>
      <c r="I62" s="54"/>
      <c r="J62" s="54"/>
      <c r="K62" s="54"/>
      <c r="L62" s="54"/>
      <c r="M62" s="54"/>
      <c r="N62" s="54"/>
      <c r="O62" s="54"/>
      <c r="P62" s="54"/>
      <c r="Q62" s="54"/>
      <c r="R62" s="54"/>
      <c r="S62" s="54"/>
      <c r="T62" s="54"/>
      <c r="U62" s="54"/>
      <c r="V62" s="54"/>
      <c r="W62" s="54"/>
      <c r="X62" s="54"/>
    </row>
    <row r="63" spans="1:24" customFormat="1" ht="12.75" customHeight="1" x14ac:dyDescent="0.2">
      <c r="A63" s="58" t="s">
        <v>2080</v>
      </c>
      <c r="B63" s="53" t="s">
        <v>2081</v>
      </c>
      <c r="C63" s="59" t="s">
        <v>2080</v>
      </c>
      <c r="D63" s="271">
        <f>SUM(D64:D67)</f>
        <v>0</v>
      </c>
      <c r="E63" s="271">
        <f>SUM(E64:E67)</f>
        <v>0</v>
      </c>
      <c r="F63" s="60" t="str">
        <f t="shared" si="1"/>
        <v>-</v>
      </c>
      <c r="G63" s="54"/>
      <c r="H63" s="54"/>
      <c r="I63" s="54"/>
      <c r="J63" s="54"/>
      <c r="K63" s="54"/>
      <c r="L63" s="54"/>
      <c r="M63" s="54"/>
      <c r="N63" s="54"/>
      <c r="O63" s="54"/>
      <c r="P63" s="54"/>
      <c r="Q63" s="54"/>
      <c r="R63" s="54"/>
      <c r="S63" s="54"/>
      <c r="T63" s="54"/>
      <c r="U63" s="54"/>
      <c r="V63" s="54"/>
      <c r="W63" s="54"/>
      <c r="X63" s="54"/>
    </row>
    <row r="64" spans="1:24" customFormat="1" ht="12.75" customHeight="1" x14ac:dyDescent="0.2">
      <c r="A64" s="58" t="s">
        <v>2082</v>
      </c>
      <c r="B64" s="53" t="s">
        <v>2083</v>
      </c>
      <c r="C64" s="59" t="s">
        <v>2082</v>
      </c>
      <c r="D64" s="272">
        <v>0</v>
      </c>
      <c r="E64" s="272">
        <v>0</v>
      </c>
      <c r="F64" s="60" t="str">
        <f t="shared" si="1"/>
        <v>-</v>
      </c>
      <c r="G64" s="54"/>
      <c r="H64" s="54"/>
      <c r="I64" s="54"/>
      <c r="J64" s="54"/>
      <c r="K64" s="54"/>
      <c r="L64" s="54"/>
      <c r="M64" s="54"/>
      <c r="N64" s="54"/>
      <c r="O64" s="54"/>
      <c r="P64" s="54"/>
      <c r="Q64" s="54"/>
      <c r="R64" s="54"/>
      <c r="S64" s="54"/>
      <c r="T64" s="54"/>
      <c r="U64" s="54"/>
      <c r="V64" s="54"/>
      <c r="W64" s="54"/>
      <c r="X64" s="54"/>
    </row>
    <row r="65" spans="1:24" customFormat="1" ht="12.75" customHeight="1" x14ac:dyDescent="0.2">
      <c r="A65" s="58" t="s">
        <v>2084</v>
      </c>
      <c r="B65" s="53" t="s">
        <v>2085</v>
      </c>
      <c r="C65" s="59" t="s">
        <v>2084</v>
      </c>
      <c r="D65" s="272">
        <v>0</v>
      </c>
      <c r="E65" s="272">
        <v>0</v>
      </c>
      <c r="F65" s="60" t="str">
        <f t="shared" si="1"/>
        <v>-</v>
      </c>
      <c r="G65" s="54"/>
      <c r="H65" s="54"/>
      <c r="I65" s="54"/>
      <c r="J65" s="54"/>
      <c r="K65" s="54"/>
      <c r="L65" s="54"/>
      <c r="M65" s="54"/>
      <c r="N65" s="54"/>
      <c r="O65" s="54"/>
      <c r="P65" s="54"/>
      <c r="Q65" s="54"/>
      <c r="R65" s="54"/>
      <c r="S65" s="54"/>
      <c r="T65" s="54"/>
      <c r="U65" s="54"/>
      <c r="V65" s="54"/>
      <c r="W65" s="54"/>
      <c r="X65" s="54"/>
    </row>
    <row r="66" spans="1:24" customFormat="1" ht="12.75" customHeight="1" x14ac:dyDescent="0.2">
      <c r="A66" s="58" t="s">
        <v>2086</v>
      </c>
      <c r="B66" s="53" t="s">
        <v>2087</v>
      </c>
      <c r="C66" s="59" t="s">
        <v>2086</v>
      </c>
      <c r="D66" s="272">
        <v>0</v>
      </c>
      <c r="E66" s="272">
        <v>0</v>
      </c>
      <c r="F66" s="60" t="str">
        <f t="shared" si="1"/>
        <v>-</v>
      </c>
      <c r="G66" s="54"/>
      <c r="H66" s="54"/>
      <c r="I66" s="54"/>
      <c r="J66" s="54"/>
      <c r="K66" s="54"/>
      <c r="L66" s="54"/>
      <c r="M66" s="54"/>
      <c r="N66" s="54"/>
      <c r="O66" s="54"/>
      <c r="P66" s="54"/>
      <c r="Q66" s="54"/>
      <c r="R66" s="54"/>
      <c r="S66" s="54"/>
      <c r="T66" s="54"/>
      <c r="U66" s="54"/>
      <c r="V66" s="54"/>
      <c r="W66" s="54"/>
      <c r="X66" s="54"/>
    </row>
    <row r="67" spans="1:24" customFormat="1" ht="12.75" customHeight="1" x14ac:dyDescent="0.2">
      <c r="A67" s="58" t="s">
        <v>2088</v>
      </c>
      <c r="B67" s="53" t="s">
        <v>2089</v>
      </c>
      <c r="C67" s="59" t="s">
        <v>2088</v>
      </c>
      <c r="D67" s="272">
        <v>0</v>
      </c>
      <c r="E67" s="272">
        <v>0</v>
      </c>
      <c r="F67" s="60" t="str">
        <f t="shared" si="1"/>
        <v>-</v>
      </c>
      <c r="G67" s="54"/>
      <c r="H67" s="54"/>
      <c r="I67" s="54"/>
      <c r="J67" s="54"/>
      <c r="K67" s="54"/>
      <c r="L67" s="54"/>
      <c r="M67" s="54"/>
      <c r="N67" s="54"/>
      <c r="O67" s="54"/>
      <c r="P67" s="54"/>
      <c r="Q67" s="54"/>
      <c r="R67" s="54"/>
      <c r="S67" s="54"/>
      <c r="T67" s="54"/>
      <c r="U67" s="54"/>
      <c r="V67" s="54"/>
      <c r="W67" s="54"/>
      <c r="X67" s="54"/>
    </row>
    <row r="68" spans="1:24" customFormat="1" ht="12.75" customHeight="1" x14ac:dyDescent="0.2">
      <c r="A68" s="58" t="s">
        <v>2090</v>
      </c>
      <c r="B68" s="53" t="s">
        <v>2091</v>
      </c>
      <c r="C68" s="59" t="s">
        <v>2090</v>
      </c>
      <c r="D68" s="271">
        <f>D69+D78+D87+D118+D134+D146+D164+D170</f>
        <v>599970.67000000016</v>
      </c>
      <c r="E68" s="271">
        <f>E69+E78+E87+E118+E134+E146+E164+E170</f>
        <v>512459.76</v>
      </c>
      <c r="F68" s="60">
        <f t="shared" si="1"/>
        <v>85.41413532764858</v>
      </c>
      <c r="G68" s="54"/>
      <c r="H68" s="54"/>
      <c r="I68" s="54"/>
      <c r="J68" s="54"/>
      <c r="K68" s="54"/>
      <c r="L68" s="54"/>
      <c r="M68" s="54"/>
      <c r="N68" s="54"/>
      <c r="O68" s="54"/>
      <c r="P68" s="54"/>
      <c r="Q68" s="54"/>
      <c r="R68" s="54"/>
      <c r="S68" s="54"/>
      <c r="T68" s="54"/>
      <c r="U68" s="54"/>
      <c r="V68" s="54"/>
      <c r="W68" s="54"/>
      <c r="X68" s="54"/>
    </row>
    <row r="69" spans="1:24" customFormat="1" ht="12.75" customHeight="1" x14ac:dyDescent="0.2">
      <c r="A69" s="58" t="s">
        <v>1294</v>
      </c>
      <c r="B69" s="53" t="s">
        <v>2092</v>
      </c>
      <c r="C69" s="59" t="s">
        <v>1294</v>
      </c>
      <c r="D69" s="271">
        <f>+D70+D75+D76+D77</f>
        <v>554177.64</v>
      </c>
      <c r="E69" s="271">
        <f>+E70+E75+E76+E77</f>
        <v>466666.25</v>
      </c>
      <c r="F69" s="60">
        <f t="shared" si="1"/>
        <v>84.208783667273181</v>
      </c>
      <c r="G69" s="54"/>
      <c r="H69" s="54"/>
      <c r="I69" s="54"/>
      <c r="J69" s="54"/>
      <c r="K69" s="54"/>
      <c r="L69" s="54"/>
      <c r="M69" s="54"/>
      <c r="N69" s="54"/>
      <c r="O69" s="54"/>
      <c r="P69" s="54"/>
      <c r="Q69" s="54"/>
      <c r="R69" s="54"/>
      <c r="S69" s="54"/>
      <c r="T69" s="54"/>
      <c r="U69" s="54"/>
      <c r="V69" s="54"/>
      <c r="W69" s="54"/>
      <c r="X69" s="54"/>
    </row>
    <row r="70" spans="1:24" customFormat="1" ht="12.75" customHeight="1" x14ac:dyDescent="0.2">
      <c r="A70" s="58" t="s">
        <v>2093</v>
      </c>
      <c r="B70" s="53" t="s">
        <v>2094</v>
      </c>
      <c r="C70" s="59" t="s">
        <v>2093</v>
      </c>
      <c r="D70" s="271">
        <f>SUM(D71:D74)</f>
        <v>554177.64</v>
      </c>
      <c r="E70" s="271">
        <f>SUM(E71:E74)</f>
        <v>466666.25</v>
      </c>
      <c r="F70" s="60">
        <f t="shared" ref="F70:F101" si="2">IF(D70&gt;0,IF(E70/D70&gt;=100,"&gt;&gt;100",E70/D70*100),"-")</f>
        <v>84.208783667273181</v>
      </c>
      <c r="G70" s="54"/>
      <c r="H70" s="54"/>
      <c r="I70" s="54"/>
      <c r="J70" s="54"/>
      <c r="K70" s="54"/>
      <c r="L70" s="54"/>
      <c r="M70" s="54"/>
      <c r="N70" s="54"/>
      <c r="O70" s="54"/>
      <c r="P70" s="54"/>
      <c r="Q70" s="54"/>
      <c r="R70" s="54"/>
      <c r="S70" s="54"/>
      <c r="T70" s="54"/>
      <c r="U70" s="54"/>
      <c r="V70" s="54"/>
      <c r="W70" s="54"/>
      <c r="X70" s="54"/>
    </row>
    <row r="71" spans="1:24" customFormat="1" ht="12.75" customHeight="1" x14ac:dyDescent="0.2">
      <c r="A71" s="58" t="s">
        <v>2095</v>
      </c>
      <c r="B71" s="53" t="s">
        <v>2096</v>
      </c>
      <c r="C71" s="59" t="s">
        <v>2095</v>
      </c>
      <c r="D71" s="272">
        <v>0</v>
      </c>
      <c r="E71" s="272">
        <v>0</v>
      </c>
      <c r="F71" s="60" t="str">
        <f t="shared" si="2"/>
        <v>-</v>
      </c>
      <c r="G71" s="54"/>
      <c r="H71" s="54"/>
      <c r="I71" s="54"/>
      <c r="J71" s="54"/>
      <c r="K71" s="54"/>
      <c r="L71" s="54"/>
      <c r="M71" s="54"/>
      <c r="N71" s="54"/>
      <c r="O71" s="54"/>
      <c r="P71" s="54"/>
      <c r="Q71" s="54"/>
      <c r="R71" s="54"/>
      <c r="S71" s="54"/>
      <c r="T71" s="54"/>
      <c r="U71" s="54"/>
      <c r="V71" s="54"/>
      <c r="W71" s="54"/>
      <c r="X71" s="54"/>
    </row>
    <row r="72" spans="1:24" customFormat="1" ht="12.75" customHeight="1" x14ac:dyDescent="0.2">
      <c r="A72" s="58" t="s">
        <v>2097</v>
      </c>
      <c r="B72" s="53" t="s">
        <v>2098</v>
      </c>
      <c r="C72" s="59" t="s">
        <v>2097</v>
      </c>
      <c r="D72" s="272">
        <v>554177.64</v>
      </c>
      <c r="E72" s="272">
        <v>466666.25</v>
      </c>
      <c r="F72" s="60">
        <f t="shared" si="2"/>
        <v>84.208783667273181</v>
      </c>
      <c r="G72" s="54"/>
      <c r="H72" s="54"/>
      <c r="I72" s="54"/>
      <c r="J72" s="54"/>
      <c r="K72" s="54"/>
      <c r="L72" s="54"/>
      <c r="M72" s="54"/>
      <c r="N72" s="54"/>
      <c r="O72" s="54"/>
      <c r="P72" s="54"/>
      <c r="Q72" s="54"/>
      <c r="R72" s="54"/>
      <c r="S72" s="54"/>
      <c r="T72" s="54"/>
      <c r="U72" s="54"/>
      <c r="V72" s="54"/>
      <c r="W72" s="54"/>
      <c r="X72" s="54"/>
    </row>
    <row r="73" spans="1:24" customFormat="1" ht="12.75" customHeight="1" x14ac:dyDescent="0.2">
      <c r="A73" s="58" t="s">
        <v>2099</v>
      </c>
      <c r="B73" s="53" t="s">
        <v>2100</v>
      </c>
      <c r="C73" s="59" t="s">
        <v>2099</v>
      </c>
      <c r="D73" s="272">
        <v>0</v>
      </c>
      <c r="E73" s="272">
        <v>0</v>
      </c>
      <c r="F73" s="60" t="str">
        <f t="shared" si="2"/>
        <v>-</v>
      </c>
      <c r="G73" s="54"/>
      <c r="H73" s="54"/>
      <c r="I73" s="54"/>
      <c r="J73" s="54"/>
      <c r="K73" s="54"/>
      <c r="L73" s="54"/>
      <c r="M73" s="54"/>
      <c r="N73" s="54"/>
      <c r="O73" s="54"/>
      <c r="P73" s="54"/>
      <c r="Q73" s="54"/>
      <c r="R73" s="54"/>
      <c r="S73" s="54"/>
      <c r="T73" s="54"/>
      <c r="U73" s="54"/>
      <c r="V73" s="54"/>
      <c r="W73" s="54"/>
      <c r="X73" s="54"/>
    </row>
    <row r="74" spans="1:24" customFormat="1" ht="12.75" customHeight="1" x14ac:dyDescent="0.2">
      <c r="A74" s="58" t="s">
        <v>2101</v>
      </c>
      <c r="B74" s="53" t="s">
        <v>2102</v>
      </c>
      <c r="C74" s="59" t="s">
        <v>2101</v>
      </c>
      <c r="D74" s="272">
        <v>0</v>
      </c>
      <c r="E74" s="272">
        <v>0</v>
      </c>
      <c r="F74" s="60" t="str">
        <f t="shared" si="2"/>
        <v>-</v>
      </c>
      <c r="G74" s="54"/>
      <c r="H74" s="54"/>
      <c r="I74" s="54"/>
      <c r="J74" s="54"/>
      <c r="K74" s="54"/>
      <c r="L74" s="54"/>
      <c r="M74" s="54"/>
      <c r="N74" s="54"/>
      <c r="O74" s="54"/>
      <c r="P74" s="54"/>
      <c r="Q74" s="54"/>
      <c r="R74" s="54"/>
      <c r="S74" s="54"/>
      <c r="T74" s="54"/>
      <c r="U74" s="54"/>
      <c r="V74" s="54"/>
      <c r="W74" s="54"/>
      <c r="X74" s="54"/>
    </row>
    <row r="75" spans="1:24" customFormat="1" ht="12.75" customHeight="1" x14ac:dyDescent="0.2">
      <c r="A75" s="58" t="s">
        <v>2103</v>
      </c>
      <c r="B75" s="53" t="s">
        <v>2104</v>
      </c>
      <c r="C75" s="59" t="s">
        <v>2103</v>
      </c>
      <c r="D75" s="272">
        <v>0</v>
      </c>
      <c r="E75" s="272">
        <v>0</v>
      </c>
      <c r="F75" s="60" t="str">
        <f t="shared" si="2"/>
        <v>-</v>
      </c>
      <c r="G75" s="54"/>
      <c r="H75" s="54"/>
      <c r="I75" s="54"/>
      <c r="J75" s="54"/>
      <c r="K75" s="54"/>
      <c r="L75" s="54"/>
      <c r="M75" s="54"/>
      <c r="N75" s="54"/>
      <c r="O75" s="54"/>
      <c r="P75" s="54"/>
      <c r="Q75" s="54"/>
      <c r="R75" s="54"/>
      <c r="S75" s="54"/>
      <c r="T75" s="54"/>
      <c r="U75" s="54"/>
      <c r="V75" s="54"/>
      <c r="W75" s="54"/>
      <c r="X75" s="54"/>
    </row>
    <row r="76" spans="1:24" customFormat="1" ht="12.75" customHeight="1" x14ac:dyDescent="0.2">
      <c r="A76" s="58" t="s">
        <v>2105</v>
      </c>
      <c r="B76" s="53" t="s">
        <v>2106</v>
      </c>
      <c r="C76" s="59" t="s">
        <v>2105</v>
      </c>
      <c r="D76" s="272">
        <v>0</v>
      </c>
      <c r="E76" s="272">
        <v>0</v>
      </c>
      <c r="F76" s="60" t="str">
        <f t="shared" si="2"/>
        <v>-</v>
      </c>
      <c r="G76" s="54"/>
      <c r="H76" s="54"/>
      <c r="I76" s="54"/>
      <c r="J76" s="54"/>
      <c r="K76" s="54"/>
      <c r="L76" s="54"/>
      <c r="M76" s="54"/>
      <c r="N76" s="54"/>
      <c r="O76" s="54"/>
      <c r="P76" s="54"/>
      <c r="Q76" s="54"/>
      <c r="R76" s="54"/>
      <c r="S76" s="54"/>
      <c r="T76" s="54"/>
      <c r="U76" s="54"/>
      <c r="V76" s="54"/>
      <c r="W76" s="54"/>
      <c r="X76" s="54"/>
    </row>
    <row r="77" spans="1:24" customFormat="1" ht="12.75" customHeight="1" x14ac:dyDescent="0.2">
      <c r="A77" s="58" t="s">
        <v>2107</v>
      </c>
      <c r="B77" s="53" t="s">
        <v>2108</v>
      </c>
      <c r="C77" s="59" t="s">
        <v>2107</v>
      </c>
      <c r="D77" s="272">
        <v>0</v>
      </c>
      <c r="E77" s="272">
        <v>0</v>
      </c>
      <c r="F77" s="60" t="str">
        <f t="shared" si="2"/>
        <v>-</v>
      </c>
      <c r="G77" s="54"/>
      <c r="H77" s="54"/>
      <c r="I77" s="54"/>
      <c r="J77" s="54"/>
      <c r="K77" s="54"/>
      <c r="L77" s="54"/>
      <c r="M77" s="54"/>
      <c r="N77" s="54"/>
      <c r="O77" s="54"/>
      <c r="P77" s="54"/>
      <c r="Q77" s="54"/>
      <c r="R77" s="54"/>
      <c r="S77" s="54"/>
      <c r="T77" s="54"/>
      <c r="U77" s="54"/>
      <c r="V77" s="54"/>
      <c r="W77" s="54"/>
      <c r="X77" s="54"/>
    </row>
    <row r="78" spans="1:24" customFormat="1" ht="24" customHeight="1" x14ac:dyDescent="0.2">
      <c r="A78" s="58" t="s">
        <v>2109</v>
      </c>
      <c r="B78" s="53" t="s">
        <v>2110</v>
      </c>
      <c r="C78" s="59" t="s">
        <v>2109</v>
      </c>
      <c r="D78" s="271">
        <f>D79+SUM(D82:D84)-D85+D86</f>
        <v>605.80999999999995</v>
      </c>
      <c r="E78" s="271">
        <f>E79+SUM(E82:E84)-E85+E86</f>
        <v>599.01</v>
      </c>
      <c r="F78" s="60">
        <f t="shared" si="2"/>
        <v>98.877535861078556</v>
      </c>
      <c r="G78" s="54"/>
      <c r="H78" s="54"/>
      <c r="I78" s="54"/>
      <c r="J78" s="54"/>
      <c r="K78" s="54"/>
      <c r="L78" s="54"/>
      <c r="M78" s="54"/>
      <c r="N78" s="54"/>
      <c r="O78" s="54"/>
      <c r="P78" s="54"/>
      <c r="Q78" s="54"/>
      <c r="R78" s="54"/>
      <c r="S78" s="54"/>
      <c r="T78" s="54"/>
      <c r="U78" s="54"/>
      <c r="V78" s="54"/>
      <c r="W78" s="54"/>
      <c r="X78" s="54"/>
    </row>
    <row r="79" spans="1:24" customFormat="1" ht="12.75" customHeight="1" x14ac:dyDescent="0.2">
      <c r="A79" s="58" t="s">
        <v>2111</v>
      </c>
      <c r="B79" s="53" t="s">
        <v>2112</v>
      </c>
      <c r="C79" s="59" t="s">
        <v>2111</v>
      </c>
      <c r="D79" s="271">
        <f>SUM(D80:D81)</f>
        <v>0</v>
      </c>
      <c r="E79" s="271">
        <f>SUM(E80:E81)</f>
        <v>0</v>
      </c>
      <c r="F79" s="60" t="str">
        <f t="shared" si="2"/>
        <v>-</v>
      </c>
      <c r="G79" s="54"/>
      <c r="H79" s="54"/>
      <c r="I79" s="54"/>
      <c r="J79" s="54"/>
      <c r="K79" s="54"/>
      <c r="L79" s="54"/>
      <c r="M79" s="54"/>
      <c r="N79" s="54"/>
      <c r="O79" s="54"/>
      <c r="P79" s="54"/>
      <c r="Q79" s="54"/>
      <c r="R79" s="54"/>
      <c r="S79" s="54"/>
      <c r="T79" s="54"/>
      <c r="U79" s="54"/>
      <c r="V79" s="54"/>
      <c r="W79" s="54"/>
      <c r="X79" s="54"/>
    </row>
    <row r="80" spans="1:24" customFormat="1" ht="12.75" customHeight="1" x14ac:dyDescent="0.2">
      <c r="A80" s="58" t="s">
        <v>2113</v>
      </c>
      <c r="B80" s="53" t="s">
        <v>2114</v>
      </c>
      <c r="C80" s="59" t="s">
        <v>2113</v>
      </c>
      <c r="D80" s="272">
        <v>0</v>
      </c>
      <c r="E80" s="272">
        <v>0</v>
      </c>
      <c r="F80" s="60" t="str">
        <f t="shared" si="2"/>
        <v>-</v>
      </c>
      <c r="G80" s="54"/>
      <c r="H80" s="54"/>
      <c r="I80" s="54"/>
      <c r="J80" s="54"/>
      <c r="K80" s="54"/>
      <c r="L80" s="54"/>
      <c r="M80" s="54"/>
      <c r="N80" s="54"/>
      <c r="O80" s="54"/>
      <c r="P80" s="54"/>
      <c r="Q80" s="54"/>
      <c r="R80" s="54"/>
      <c r="S80" s="54"/>
      <c r="T80" s="54"/>
      <c r="U80" s="54"/>
      <c r="V80" s="54"/>
      <c r="W80" s="54"/>
      <c r="X80" s="54"/>
    </row>
    <row r="81" spans="1:24" customFormat="1" ht="12.75" customHeight="1" x14ac:dyDescent="0.2">
      <c r="A81" s="58" t="s">
        <v>2115</v>
      </c>
      <c r="B81" s="53" t="s">
        <v>2116</v>
      </c>
      <c r="C81" s="59" t="s">
        <v>2115</v>
      </c>
      <c r="D81" s="272">
        <v>0</v>
      </c>
      <c r="E81" s="272">
        <v>0</v>
      </c>
      <c r="F81" s="60" t="str">
        <f t="shared" si="2"/>
        <v>-</v>
      </c>
      <c r="G81" s="54"/>
      <c r="H81" s="54"/>
      <c r="I81" s="54"/>
      <c r="J81" s="54"/>
      <c r="K81" s="54"/>
      <c r="L81" s="54"/>
      <c r="M81" s="54"/>
      <c r="N81" s="54"/>
      <c r="O81" s="54"/>
      <c r="P81" s="54"/>
      <c r="Q81" s="54"/>
      <c r="R81" s="54"/>
      <c r="S81" s="54"/>
      <c r="T81" s="54"/>
      <c r="U81" s="54"/>
      <c r="V81" s="54"/>
      <c r="W81" s="54"/>
      <c r="X81" s="54"/>
    </row>
    <row r="82" spans="1:24" customFormat="1" ht="12.75" customHeight="1" x14ac:dyDescent="0.2">
      <c r="A82" s="58" t="s">
        <v>2117</v>
      </c>
      <c r="B82" s="53" t="s">
        <v>2118</v>
      </c>
      <c r="C82" s="59" t="s">
        <v>2117</v>
      </c>
      <c r="D82" s="272">
        <v>0</v>
      </c>
      <c r="E82" s="272">
        <v>0</v>
      </c>
      <c r="F82" s="60" t="str">
        <f t="shared" si="2"/>
        <v>-</v>
      </c>
      <c r="G82" s="54"/>
      <c r="H82" s="54"/>
      <c r="I82" s="54"/>
      <c r="J82" s="54"/>
      <c r="K82" s="54"/>
      <c r="L82" s="54"/>
      <c r="M82" s="54"/>
      <c r="N82" s="54"/>
      <c r="O82" s="54"/>
      <c r="P82" s="54"/>
      <c r="Q82" s="54"/>
      <c r="R82" s="54"/>
      <c r="S82" s="54"/>
      <c r="T82" s="54"/>
      <c r="U82" s="54"/>
      <c r="V82" s="54"/>
      <c r="W82" s="54"/>
      <c r="X82" s="54"/>
    </row>
    <row r="83" spans="1:24" customFormat="1" ht="12.75" customHeight="1" x14ac:dyDescent="0.2">
      <c r="A83" s="58" t="s">
        <v>2119</v>
      </c>
      <c r="B83" s="53" t="s">
        <v>2120</v>
      </c>
      <c r="C83" s="59" t="s">
        <v>2119</v>
      </c>
      <c r="D83" s="272">
        <v>0</v>
      </c>
      <c r="E83" s="272">
        <v>0</v>
      </c>
      <c r="F83" s="60" t="str">
        <f t="shared" si="2"/>
        <v>-</v>
      </c>
      <c r="G83" s="54"/>
      <c r="H83" s="54"/>
      <c r="I83" s="54"/>
      <c r="J83" s="54"/>
      <c r="K83" s="54"/>
      <c r="L83" s="54"/>
      <c r="M83" s="54"/>
      <c r="N83" s="54"/>
      <c r="O83" s="54"/>
      <c r="P83" s="54"/>
      <c r="Q83" s="54"/>
      <c r="R83" s="54"/>
      <c r="S83" s="54"/>
      <c r="T83" s="54"/>
      <c r="U83" s="54"/>
      <c r="V83" s="54"/>
      <c r="W83" s="54"/>
      <c r="X83" s="54"/>
    </row>
    <row r="84" spans="1:24" customFormat="1" ht="12.75" customHeight="1" x14ac:dyDescent="0.2">
      <c r="A84" s="58" t="s">
        <v>2121</v>
      </c>
      <c r="B84" s="53" t="s">
        <v>2122</v>
      </c>
      <c r="C84" s="59" t="s">
        <v>2121</v>
      </c>
      <c r="D84" s="272">
        <v>0</v>
      </c>
      <c r="E84" s="272">
        <v>0</v>
      </c>
      <c r="F84" s="60" t="str">
        <f t="shared" si="2"/>
        <v>-</v>
      </c>
      <c r="G84" s="54"/>
      <c r="H84" s="54"/>
      <c r="I84" s="54"/>
      <c r="J84" s="54"/>
      <c r="K84" s="54"/>
      <c r="L84" s="54"/>
      <c r="M84" s="54"/>
      <c r="N84" s="54"/>
      <c r="O84" s="54"/>
      <c r="P84" s="54"/>
      <c r="Q84" s="54"/>
      <c r="R84" s="54"/>
      <c r="S84" s="54"/>
      <c r="T84" s="54"/>
      <c r="U84" s="54"/>
      <c r="V84" s="54"/>
      <c r="W84" s="54"/>
      <c r="X84" s="54"/>
    </row>
    <row r="85" spans="1:24" customFormat="1" ht="24" customHeight="1" x14ac:dyDescent="0.2">
      <c r="A85" s="58" t="s">
        <v>2123</v>
      </c>
      <c r="B85" s="53" t="s">
        <v>2124</v>
      </c>
      <c r="C85" s="59" t="s">
        <v>2123</v>
      </c>
      <c r="D85" s="272">
        <v>0</v>
      </c>
      <c r="E85" s="272">
        <v>0</v>
      </c>
      <c r="F85" s="60" t="str">
        <f t="shared" si="2"/>
        <v>-</v>
      </c>
      <c r="G85" s="54"/>
      <c r="H85" s="54"/>
      <c r="I85" s="54"/>
      <c r="J85" s="54"/>
      <c r="K85" s="54"/>
      <c r="L85" s="54"/>
      <c r="M85" s="54"/>
      <c r="N85" s="54"/>
      <c r="O85" s="54"/>
      <c r="P85" s="54"/>
      <c r="Q85" s="54"/>
      <c r="R85" s="54"/>
      <c r="S85" s="54"/>
      <c r="T85" s="54"/>
      <c r="U85" s="54"/>
      <c r="V85" s="54"/>
      <c r="W85" s="54"/>
      <c r="X85" s="54"/>
    </row>
    <row r="86" spans="1:24" customFormat="1" ht="12.75" customHeight="1" x14ac:dyDescent="0.2">
      <c r="A86" s="58" t="s">
        <v>2125</v>
      </c>
      <c r="B86" s="53" t="s">
        <v>2126</v>
      </c>
      <c r="C86" s="59" t="s">
        <v>2125</v>
      </c>
      <c r="D86" s="272">
        <v>605.80999999999995</v>
      </c>
      <c r="E86" s="272">
        <v>599.01</v>
      </c>
      <c r="F86" s="60">
        <f t="shared" si="2"/>
        <v>98.877535861078556</v>
      </c>
      <c r="G86" s="54"/>
      <c r="H86" s="54"/>
      <c r="I86" s="54"/>
      <c r="J86" s="54"/>
      <c r="K86" s="54"/>
      <c r="L86" s="54"/>
      <c r="M86" s="54"/>
      <c r="N86" s="54"/>
      <c r="O86" s="54"/>
      <c r="P86" s="54"/>
      <c r="Q86" s="54"/>
      <c r="R86" s="54"/>
      <c r="S86" s="54"/>
      <c r="T86" s="54"/>
      <c r="U86" s="54"/>
      <c r="V86" s="54"/>
      <c r="W86" s="54"/>
      <c r="X86" s="54"/>
    </row>
    <row r="87" spans="1:24" customFormat="1" ht="12.75" customHeight="1" x14ac:dyDescent="0.2">
      <c r="A87" s="58" t="s">
        <v>2127</v>
      </c>
      <c r="B87" s="53" t="s">
        <v>2128</v>
      </c>
      <c r="C87" s="59" t="s">
        <v>2127</v>
      </c>
      <c r="D87" s="271">
        <f>D88+D106-D117</f>
        <v>0</v>
      </c>
      <c r="E87" s="271">
        <f>E88+E106-E117</f>
        <v>0</v>
      </c>
      <c r="F87" s="60" t="str">
        <f t="shared" si="2"/>
        <v>-</v>
      </c>
      <c r="G87" s="54"/>
      <c r="H87" s="54"/>
      <c r="I87" s="54"/>
      <c r="J87" s="54"/>
      <c r="K87" s="54"/>
      <c r="L87" s="54"/>
      <c r="M87" s="54"/>
      <c r="N87" s="54"/>
      <c r="O87" s="54"/>
      <c r="P87" s="54"/>
      <c r="Q87" s="54"/>
      <c r="R87" s="54"/>
      <c r="S87" s="54"/>
      <c r="T87" s="54"/>
      <c r="U87" s="54"/>
      <c r="V87" s="54"/>
      <c r="W87" s="54"/>
      <c r="X87" s="54"/>
    </row>
    <row r="88" spans="1:24" customFormat="1" ht="36" customHeight="1" x14ac:dyDescent="0.2">
      <c r="A88" s="58"/>
      <c r="B88" s="53" t="s">
        <v>2129</v>
      </c>
      <c r="C88" s="59" t="s">
        <v>2130</v>
      </c>
      <c r="D88" s="271">
        <f>SUM(D89:D105)</f>
        <v>0</v>
      </c>
      <c r="E88" s="271">
        <f>SUM(E89:E105)</f>
        <v>0</v>
      </c>
      <c r="F88" s="60" t="str">
        <f t="shared" si="2"/>
        <v>-</v>
      </c>
      <c r="G88" s="54"/>
      <c r="H88" s="54"/>
      <c r="I88" s="54"/>
      <c r="J88" s="54"/>
      <c r="K88" s="54"/>
      <c r="L88" s="54"/>
      <c r="M88" s="54"/>
      <c r="N88" s="54"/>
      <c r="O88" s="54"/>
      <c r="P88" s="54"/>
      <c r="Q88" s="54"/>
      <c r="R88" s="54"/>
      <c r="S88" s="54"/>
      <c r="T88" s="54"/>
      <c r="U88" s="54"/>
      <c r="V88" s="54"/>
      <c r="W88" s="54"/>
      <c r="X88" s="54"/>
    </row>
    <row r="89" spans="1:24" customFormat="1" ht="12.75" customHeight="1" x14ac:dyDescent="0.2">
      <c r="A89" s="58" t="s">
        <v>2131</v>
      </c>
      <c r="B89" s="53" t="s">
        <v>2132</v>
      </c>
      <c r="C89" s="59" t="s">
        <v>2131</v>
      </c>
      <c r="D89" s="272">
        <v>0</v>
      </c>
      <c r="E89" s="272">
        <v>0</v>
      </c>
      <c r="F89" s="60" t="str">
        <f t="shared" si="2"/>
        <v>-</v>
      </c>
      <c r="G89" s="54"/>
      <c r="H89" s="54"/>
      <c r="I89" s="54"/>
      <c r="J89" s="54"/>
      <c r="K89" s="54"/>
      <c r="L89" s="54"/>
      <c r="M89" s="54"/>
      <c r="N89" s="54"/>
      <c r="O89" s="54"/>
      <c r="P89" s="54"/>
      <c r="Q89" s="54"/>
      <c r="R89" s="54"/>
      <c r="S89" s="54"/>
      <c r="T89" s="54"/>
      <c r="U89" s="54"/>
      <c r="V89" s="54"/>
      <c r="W89" s="54"/>
      <c r="X89" s="54"/>
    </row>
    <row r="90" spans="1:24" customFormat="1" ht="12.75" customHeight="1" x14ac:dyDescent="0.2">
      <c r="A90" s="58" t="s">
        <v>2133</v>
      </c>
      <c r="B90" s="53" t="s">
        <v>2134</v>
      </c>
      <c r="C90" s="59" t="s">
        <v>2133</v>
      </c>
      <c r="D90" s="272">
        <v>0</v>
      </c>
      <c r="E90" s="272">
        <v>0</v>
      </c>
      <c r="F90" s="60" t="str">
        <f t="shared" si="2"/>
        <v>-</v>
      </c>
      <c r="G90" s="54"/>
      <c r="H90" s="54"/>
      <c r="I90" s="54"/>
      <c r="J90" s="54"/>
      <c r="K90" s="54"/>
      <c r="L90" s="54"/>
      <c r="M90" s="54"/>
      <c r="N90" s="54"/>
      <c r="O90" s="54"/>
      <c r="P90" s="54"/>
      <c r="Q90" s="54"/>
      <c r="R90" s="54"/>
      <c r="S90" s="54"/>
      <c r="T90" s="54"/>
      <c r="U90" s="54"/>
      <c r="V90" s="54"/>
      <c r="W90" s="54"/>
      <c r="X90" s="54"/>
    </row>
    <row r="91" spans="1:24" customFormat="1" ht="12.75" customHeight="1" x14ac:dyDescent="0.2">
      <c r="A91" s="58" t="s">
        <v>2135</v>
      </c>
      <c r="B91" s="53" t="s">
        <v>2136</v>
      </c>
      <c r="C91" s="59" t="s">
        <v>2135</v>
      </c>
      <c r="D91" s="272">
        <v>0</v>
      </c>
      <c r="E91" s="272">
        <v>0</v>
      </c>
      <c r="F91" s="60" t="str">
        <f t="shared" si="2"/>
        <v>-</v>
      </c>
      <c r="G91" s="54"/>
      <c r="H91" s="54"/>
      <c r="I91" s="54"/>
      <c r="J91" s="54"/>
      <c r="K91" s="54"/>
      <c r="L91" s="54"/>
      <c r="M91" s="54"/>
      <c r="N91" s="54"/>
      <c r="O91" s="54"/>
      <c r="P91" s="54"/>
      <c r="Q91" s="54"/>
      <c r="R91" s="54"/>
      <c r="S91" s="54"/>
      <c r="T91" s="54"/>
      <c r="U91" s="54"/>
      <c r="V91" s="54"/>
      <c r="W91" s="54"/>
      <c r="X91" s="54"/>
    </row>
    <row r="92" spans="1:24" customFormat="1" ht="12.75" customHeight="1" x14ac:dyDescent="0.2">
      <c r="A92" s="58" t="s">
        <v>2137</v>
      </c>
      <c r="B92" s="53" t="s">
        <v>2138</v>
      </c>
      <c r="C92" s="59" t="s">
        <v>2137</v>
      </c>
      <c r="D92" s="272">
        <v>0</v>
      </c>
      <c r="E92" s="272">
        <v>0</v>
      </c>
      <c r="F92" s="60" t="str">
        <f t="shared" si="2"/>
        <v>-</v>
      </c>
      <c r="G92" s="54"/>
      <c r="H92" s="54"/>
      <c r="I92" s="54"/>
      <c r="J92" s="54"/>
      <c r="K92" s="54"/>
      <c r="L92" s="54"/>
      <c r="M92" s="54"/>
      <c r="N92" s="54"/>
      <c r="O92" s="54"/>
      <c r="P92" s="54"/>
      <c r="Q92" s="54"/>
      <c r="R92" s="54"/>
      <c r="S92" s="54"/>
      <c r="T92" s="54"/>
      <c r="U92" s="54"/>
      <c r="V92" s="54"/>
      <c r="W92" s="54"/>
      <c r="X92" s="54"/>
    </row>
    <row r="93" spans="1:24" customFormat="1" ht="12.75" customHeight="1" x14ac:dyDescent="0.2">
      <c r="A93" s="58" t="s">
        <v>2139</v>
      </c>
      <c r="B93" s="53" t="s">
        <v>2140</v>
      </c>
      <c r="C93" s="59" t="s">
        <v>2139</v>
      </c>
      <c r="D93" s="272">
        <v>0</v>
      </c>
      <c r="E93" s="272">
        <v>0</v>
      </c>
      <c r="F93" s="60" t="str">
        <f t="shared" si="2"/>
        <v>-</v>
      </c>
      <c r="G93" s="54"/>
      <c r="H93" s="54"/>
      <c r="I93" s="54"/>
      <c r="J93" s="54"/>
      <c r="K93" s="54"/>
      <c r="L93" s="54"/>
      <c r="M93" s="54"/>
      <c r="N93" s="54"/>
      <c r="O93" s="54"/>
      <c r="P93" s="54"/>
      <c r="Q93" s="54"/>
      <c r="R93" s="54"/>
      <c r="S93" s="54"/>
      <c r="T93" s="54"/>
      <c r="U93" s="54"/>
      <c r="V93" s="54"/>
      <c r="W93" s="54"/>
      <c r="X93" s="54"/>
    </row>
    <row r="94" spans="1:24" customFormat="1" ht="12.75" customHeight="1" x14ac:dyDescent="0.2">
      <c r="A94" s="58" t="s">
        <v>2141</v>
      </c>
      <c r="B94" s="53" t="s">
        <v>2142</v>
      </c>
      <c r="C94" s="59" t="s">
        <v>2141</v>
      </c>
      <c r="D94" s="272">
        <v>0</v>
      </c>
      <c r="E94" s="272">
        <v>0</v>
      </c>
      <c r="F94" s="60" t="str">
        <f t="shared" si="2"/>
        <v>-</v>
      </c>
      <c r="G94" s="54"/>
      <c r="H94" s="54"/>
      <c r="I94" s="54"/>
      <c r="J94" s="54"/>
      <c r="K94" s="54"/>
      <c r="L94" s="54"/>
      <c r="M94" s="54"/>
      <c r="N94" s="54"/>
      <c r="O94" s="54"/>
      <c r="P94" s="54"/>
      <c r="Q94" s="54"/>
      <c r="R94" s="54"/>
      <c r="S94" s="54"/>
      <c r="T94" s="54"/>
      <c r="U94" s="54"/>
      <c r="V94" s="54"/>
      <c r="W94" s="54"/>
      <c r="X94" s="54"/>
    </row>
    <row r="95" spans="1:24" customFormat="1" ht="12.75" customHeight="1" x14ac:dyDescent="0.2">
      <c r="A95" s="58" t="s">
        <v>2143</v>
      </c>
      <c r="B95" s="53" t="s">
        <v>2144</v>
      </c>
      <c r="C95" s="59" t="s">
        <v>2143</v>
      </c>
      <c r="D95" s="272">
        <v>0</v>
      </c>
      <c r="E95" s="272">
        <v>0</v>
      </c>
      <c r="F95" s="60" t="str">
        <f t="shared" si="2"/>
        <v>-</v>
      </c>
      <c r="G95" s="54"/>
      <c r="H95" s="54"/>
      <c r="I95" s="54"/>
      <c r="J95" s="54"/>
      <c r="K95" s="54"/>
      <c r="L95" s="54"/>
      <c r="M95" s="54"/>
      <c r="N95" s="54"/>
      <c r="O95" s="54"/>
      <c r="P95" s="54"/>
      <c r="Q95" s="54"/>
      <c r="R95" s="54"/>
      <c r="S95" s="54"/>
      <c r="T95" s="54"/>
      <c r="U95" s="54"/>
      <c r="V95" s="54"/>
      <c r="W95" s="54"/>
      <c r="X95" s="54"/>
    </row>
    <row r="96" spans="1:24" customFormat="1" ht="12.75" customHeight="1" x14ac:dyDescent="0.2">
      <c r="A96" s="58" t="s">
        <v>2145</v>
      </c>
      <c r="B96" s="53" t="s">
        <v>2146</v>
      </c>
      <c r="C96" s="59" t="s">
        <v>2145</v>
      </c>
      <c r="D96" s="272">
        <v>0</v>
      </c>
      <c r="E96" s="272">
        <v>0</v>
      </c>
      <c r="F96" s="60" t="str">
        <f t="shared" si="2"/>
        <v>-</v>
      </c>
      <c r="G96" s="54"/>
      <c r="H96" s="54"/>
      <c r="I96" s="54"/>
      <c r="J96" s="54"/>
      <c r="K96" s="54"/>
      <c r="L96" s="54"/>
      <c r="M96" s="54"/>
      <c r="N96" s="54"/>
      <c r="O96" s="54"/>
      <c r="P96" s="54"/>
      <c r="Q96" s="54"/>
      <c r="R96" s="54"/>
      <c r="S96" s="54"/>
      <c r="T96" s="54"/>
      <c r="U96" s="54"/>
      <c r="V96" s="54"/>
      <c r="W96" s="54"/>
      <c r="X96" s="54"/>
    </row>
    <row r="97" spans="1:24" customFormat="1" ht="12.75" customHeight="1" x14ac:dyDescent="0.2">
      <c r="A97" s="58" t="s">
        <v>2147</v>
      </c>
      <c r="B97" s="53" t="s">
        <v>2148</v>
      </c>
      <c r="C97" s="59" t="s">
        <v>2147</v>
      </c>
      <c r="D97" s="272">
        <v>0</v>
      </c>
      <c r="E97" s="272">
        <v>0</v>
      </c>
      <c r="F97" s="60" t="str">
        <f t="shared" si="2"/>
        <v>-</v>
      </c>
      <c r="G97" s="54"/>
      <c r="H97" s="54"/>
      <c r="I97" s="54"/>
      <c r="J97" s="54"/>
      <c r="K97" s="54"/>
      <c r="L97" s="54"/>
      <c r="M97" s="54"/>
      <c r="N97" s="54"/>
      <c r="O97" s="54"/>
      <c r="P97" s="54"/>
      <c r="Q97" s="54"/>
      <c r="R97" s="54"/>
      <c r="S97" s="54"/>
      <c r="T97" s="54"/>
      <c r="U97" s="54"/>
      <c r="V97" s="54"/>
      <c r="W97" s="54"/>
      <c r="X97" s="54"/>
    </row>
    <row r="98" spans="1:24" customFormat="1" ht="12.75" customHeight="1" x14ac:dyDescent="0.2">
      <c r="A98" s="58" t="s">
        <v>2149</v>
      </c>
      <c r="B98" s="53" t="s">
        <v>2150</v>
      </c>
      <c r="C98" s="59" t="s">
        <v>2149</v>
      </c>
      <c r="D98" s="272">
        <v>0</v>
      </c>
      <c r="E98" s="272">
        <v>0</v>
      </c>
      <c r="F98" s="60" t="str">
        <f t="shared" si="2"/>
        <v>-</v>
      </c>
      <c r="G98" s="54"/>
      <c r="H98" s="54"/>
      <c r="I98" s="54"/>
      <c r="J98" s="54"/>
      <c r="K98" s="54"/>
      <c r="L98" s="54"/>
      <c r="M98" s="54"/>
      <c r="N98" s="54"/>
      <c r="O98" s="54"/>
      <c r="P98" s="54"/>
      <c r="Q98" s="54"/>
      <c r="R98" s="54"/>
      <c r="S98" s="54"/>
      <c r="T98" s="54"/>
      <c r="U98" s="54"/>
      <c r="V98" s="54"/>
      <c r="W98" s="54"/>
      <c r="X98" s="54"/>
    </row>
    <row r="99" spans="1:24" customFormat="1" ht="12.75" customHeight="1" x14ac:dyDescent="0.2">
      <c r="A99" s="58" t="s">
        <v>2151</v>
      </c>
      <c r="B99" s="53" t="s">
        <v>2152</v>
      </c>
      <c r="C99" s="59" t="s">
        <v>2151</v>
      </c>
      <c r="D99" s="272">
        <v>0</v>
      </c>
      <c r="E99" s="272">
        <v>0</v>
      </c>
      <c r="F99" s="60" t="str">
        <f t="shared" si="2"/>
        <v>-</v>
      </c>
      <c r="G99" s="54"/>
      <c r="H99" s="54"/>
      <c r="I99" s="54"/>
      <c r="J99" s="54"/>
      <c r="K99" s="54"/>
      <c r="L99" s="54"/>
      <c r="M99" s="54"/>
      <c r="N99" s="54"/>
      <c r="O99" s="54"/>
      <c r="P99" s="54"/>
      <c r="Q99" s="54"/>
      <c r="R99" s="54"/>
      <c r="S99" s="54"/>
      <c r="T99" s="54"/>
      <c r="U99" s="54"/>
      <c r="V99" s="54"/>
      <c r="W99" s="54"/>
      <c r="X99" s="54"/>
    </row>
    <row r="100" spans="1:24" customFormat="1" ht="12.75" customHeight="1" x14ac:dyDescent="0.2">
      <c r="A100" s="58" t="s">
        <v>2153</v>
      </c>
      <c r="B100" s="53" t="s">
        <v>2154</v>
      </c>
      <c r="C100" s="59" t="s">
        <v>2153</v>
      </c>
      <c r="D100" s="272">
        <v>0</v>
      </c>
      <c r="E100" s="272">
        <v>0</v>
      </c>
      <c r="F100" s="60" t="str">
        <f t="shared" si="2"/>
        <v>-</v>
      </c>
      <c r="G100" s="54"/>
      <c r="H100" s="54"/>
      <c r="I100" s="54"/>
      <c r="J100" s="54"/>
      <c r="K100" s="54"/>
      <c r="L100" s="54"/>
      <c r="M100" s="54"/>
      <c r="N100" s="54"/>
      <c r="O100" s="54"/>
      <c r="P100" s="54"/>
      <c r="Q100" s="54"/>
      <c r="R100" s="54"/>
      <c r="S100" s="54"/>
      <c r="T100" s="54"/>
      <c r="U100" s="54"/>
      <c r="V100" s="54"/>
      <c r="W100" s="54"/>
      <c r="X100" s="54"/>
    </row>
    <row r="101" spans="1:24" customFormat="1" ht="12.75" customHeight="1" x14ac:dyDescent="0.2">
      <c r="A101" s="58" t="s">
        <v>2155</v>
      </c>
      <c r="B101" s="53" t="s">
        <v>2156</v>
      </c>
      <c r="C101" s="59" t="s">
        <v>2155</v>
      </c>
      <c r="D101" s="272">
        <v>0</v>
      </c>
      <c r="E101" s="272">
        <v>0</v>
      </c>
      <c r="F101" s="60" t="str">
        <f t="shared" si="2"/>
        <v>-</v>
      </c>
      <c r="G101" s="54"/>
      <c r="H101" s="54"/>
      <c r="I101" s="54"/>
      <c r="J101" s="54"/>
      <c r="K101" s="54"/>
      <c r="L101" s="54"/>
      <c r="M101" s="54"/>
      <c r="N101" s="54"/>
      <c r="O101" s="54"/>
      <c r="P101" s="54"/>
      <c r="Q101" s="54"/>
      <c r="R101" s="54"/>
      <c r="S101" s="54"/>
      <c r="T101" s="54"/>
      <c r="U101" s="54"/>
      <c r="V101" s="54"/>
      <c r="W101" s="54"/>
      <c r="X101" s="54"/>
    </row>
    <row r="102" spans="1:24" customFormat="1" ht="12.75" customHeight="1" x14ac:dyDescent="0.2">
      <c r="A102" s="58" t="s">
        <v>2157</v>
      </c>
      <c r="B102" s="53" t="s">
        <v>2158</v>
      </c>
      <c r="C102" s="59" t="s">
        <v>2157</v>
      </c>
      <c r="D102" s="272">
        <v>0</v>
      </c>
      <c r="E102" s="272">
        <v>0</v>
      </c>
      <c r="F102" s="60" t="str">
        <f t="shared" ref="F102:F133" si="3">IF(D102&gt;0,IF(E102/D102&gt;=100,"&gt;&gt;100",E102/D102*100),"-")</f>
        <v>-</v>
      </c>
      <c r="G102" s="54"/>
      <c r="H102" s="54"/>
      <c r="I102" s="54"/>
      <c r="J102" s="54"/>
      <c r="K102" s="54"/>
      <c r="L102" s="54"/>
      <c r="M102" s="54"/>
      <c r="N102" s="54"/>
      <c r="O102" s="54"/>
      <c r="P102" s="54"/>
      <c r="Q102" s="54"/>
      <c r="R102" s="54"/>
      <c r="S102" s="54"/>
      <c r="T102" s="54"/>
      <c r="U102" s="54"/>
      <c r="V102" s="54"/>
      <c r="W102" s="54"/>
      <c r="X102" s="54"/>
    </row>
    <row r="103" spans="1:24" customFormat="1" ht="12.75" customHeight="1" x14ac:dyDescent="0.2">
      <c r="A103" s="58" t="s">
        <v>2159</v>
      </c>
      <c r="B103" s="53" t="s">
        <v>2160</v>
      </c>
      <c r="C103" s="59" t="s">
        <v>2159</v>
      </c>
      <c r="D103" s="272">
        <v>0</v>
      </c>
      <c r="E103" s="272">
        <v>0</v>
      </c>
      <c r="F103" s="60" t="str">
        <f t="shared" si="3"/>
        <v>-</v>
      </c>
      <c r="G103" s="54"/>
      <c r="H103" s="54"/>
      <c r="I103" s="54"/>
      <c r="J103" s="54"/>
      <c r="K103" s="54"/>
      <c r="L103" s="54"/>
      <c r="M103" s="54"/>
      <c r="N103" s="54"/>
      <c r="O103" s="54"/>
      <c r="P103" s="54"/>
      <c r="Q103" s="54"/>
      <c r="R103" s="54"/>
      <c r="S103" s="54"/>
      <c r="T103" s="54"/>
      <c r="U103" s="54"/>
      <c r="V103" s="54"/>
      <c r="W103" s="54"/>
      <c r="X103" s="54"/>
    </row>
    <row r="104" spans="1:24" customFormat="1" ht="12.75" customHeight="1" x14ac:dyDescent="0.2">
      <c r="A104" s="58" t="s">
        <v>2161</v>
      </c>
      <c r="B104" s="53" t="s">
        <v>2162</v>
      </c>
      <c r="C104" s="59" t="s">
        <v>2161</v>
      </c>
      <c r="D104" s="272">
        <v>0</v>
      </c>
      <c r="E104" s="272">
        <v>0</v>
      </c>
      <c r="F104" s="60" t="str">
        <f t="shared" si="3"/>
        <v>-</v>
      </c>
      <c r="G104" s="54"/>
      <c r="H104" s="54"/>
      <c r="I104" s="54"/>
      <c r="J104" s="54"/>
      <c r="K104" s="54"/>
      <c r="L104" s="54"/>
      <c r="M104" s="54"/>
      <c r="N104" s="54"/>
      <c r="O104" s="54"/>
      <c r="P104" s="54"/>
      <c r="Q104" s="54"/>
      <c r="R104" s="54"/>
      <c r="S104" s="54"/>
      <c r="T104" s="54"/>
      <c r="U104" s="54"/>
      <c r="V104" s="54"/>
      <c r="W104" s="54"/>
      <c r="X104" s="54"/>
    </row>
    <row r="105" spans="1:24" customFormat="1" ht="24" customHeight="1" x14ac:dyDescent="0.2">
      <c r="A105" s="58" t="s">
        <v>2163</v>
      </c>
      <c r="B105" s="53" t="s">
        <v>2164</v>
      </c>
      <c r="C105" s="59" t="s">
        <v>2163</v>
      </c>
      <c r="D105" s="272">
        <v>0</v>
      </c>
      <c r="E105" s="272">
        <v>0</v>
      </c>
      <c r="F105" s="60" t="str">
        <f t="shared" si="3"/>
        <v>-</v>
      </c>
      <c r="G105" s="54"/>
      <c r="H105" s="54"/>
      <c r="I105" s="54"/>
      <c r="J105" s="54"/>
      <c r="K105" s="54"/>
      <c r="L105" s="54"/>
      <c r="M105" s="54"/>
      <c r="N105" s="54"/>
      <c r="O105" s="54"/>
      <c r="P105" s="54"/>
      <c r="Q105" s="54"/>
      <c r="R105" s="54"/>
      <c r="S105" s="54"/>
      <c r="T105" s="54"/>
      <c r="U105" s="54"/>
      <c r="V105" s="54"/>
      <c r="W105" s="54"/>
      <c r="X105" s="54"/>
    </row>
    <row r="106" spans="1:24" customFormat="1" ht="24" customHeight="1" x14ac:dyDescent="0.2">
      <c r="A106" s="58"/>
      <c r="B106" s="53" t="s">
        <v>2165</v>
      </c>
      <c r="C106" s="59" t="s">
        <v>2166</v>
      </c>
      <c r="D106" s="271">
        <f>SUM(D107:D116)</f>
        <v>0</v>
      </c>
      <c r="E106" s="271">
        <f>SUM(E107:E116)</f>
        <v>0</v>
      </c>
      <c r="F106" s="60" t="str">
        <f t="shared" si="3"/>
        <v>-</v>
      </c>
      <c r="G106" s="54"/>
      <c r="H106" s="54"/>
      <c r="I106" s="54"/>
      <c r="J106" s="54"/>
      <c r="K106" s="54"/>
      <c r="L106" s="54"/>
      <c r="M106" s="54"/>
      <c r="N106" s="54"/>
      <c r="O106" s="54"/>
      <c r="P106" s="54"/>
      <c r="Q106" s="54"/>
      <c r="R106" s="54"/>
      <c r="S106" s="54"/>
      <c r="T106" s="54"/>
      <c r="U106" s="54"/>
      <c r="V106" s="54"/>
      <c r="W106" s="54"/>
      <c r="X106" s="54"/>
    </row>
    <row r="107" spans="1:24" customFormat="1" ht="12.75" customHeight="1" x14ac:dyDescent="0.2">
      <c r="A107" s="58" t="s">
        <v>2167</v>
      </c>
      <c r="B107" s="53" t="s">
        <v>2168</v>
      </c>
      <c r="C107" s="59" t="s">
        <v>2167</v>
      </c>
      <c r="D107" s="272">
        <v>0</v>
      </c>
      <c r="E107" s="272">
        <v>0</v>
      </c>
      <c r="F107" s="60" t="str">
        <f t="shared" si="3"/>
        <v>-</v>
      </c>
      <c r="G107" s="54"/>
      <c r="H107" s="54"/>
      <c r="I107" s="54"/>
      <c r="J107" s="54"/>
      <c r="K107" s="54"/>
      <c r="L107" s="54"/>
      <c r="M107" s="54"/>
      <c r="N107" s="54"/>
      <c r="O107" s="54"/>
      <c r="P107" s="54"/>
      <c r="Q107" s="54"/>
      <c r="R107" s="54"/>
      <c r="S107" s="54"/>
      <c r="T107" s="54"/>
      <c r="U107" s="54"/>
      <c r="V107" s="54"/>
      <c r="W107" s="54"/>
      <c r="X107" s="54"/>
    </row>
    <row r="108" spans="1:24" customFormat="1" ht="12.75" customHeight="1" x14ac:dyDescent="0.2">
      <c r="A108" s="58" t="s">
        <v>2169</v>
      </c>
      <c r="B108" s="53" t="s">
        <v>2170</v>
      </c>
      <c r="C108" s="59" t="s">
        <v>2169</v>
      </c>
      <c r="D108" s="272">
        <v>0</v>
      </c>
      <c r="E108" s="272">
        <v>0</v>
      </c>
      <c r="F108" s="60" t="str">
        <f t="shared" si="3"/>
        <v>-</v>
      </c>
      <c r="G108" s="54"/>
      <c r="H108" s="54"/>
      <c r="I108" s="54"/>
      <c r="J108" s="54"/>
      <c r="K108" s="54"/>
      <c r="L108" s="54"/>
      <c r="M108" s="54"/>
      <c r="N108" s="54"/>
      <c r="O108" s="54"/>
      <c r="P108" s="54"/>
      <c r="Q108" s="54"/>
      <c r="R108" s="54"/>
      <c r="S108" s="54"/>
      <c r="T108" s="54"/>
      <c r="U108" s="54"/>
      <c r="V108" s="54"/>
      <c r="W108" s="54"/>
      <c r="X108" s="54"/>
    </row>
    <row r="109" spans="1:24" customFormat="1" ht="12.75" customHeight="1" x14ac:dyDescent="0.2">
      <c r="A109" s="58" t="s">
        <v>2171</v>
      </c>
      <c r="B109" s="53" t="s">
        <v>2172</v>
      </c>
      <c r="C109" s="59" t="s">
        <v>2171</v>
      </c>
      <c r="D109" s="272">
        <v>0</v>
      </c>
      <c r="E109" s="272">
        <v>0</v>
      </c>
      <c r="F109" s="60" t="str">
        <f t="shared" si="3"/>
        <v>-</v>
      </c>
      <c r="G109" s="54"/>
      <c r="H109" s="54"/>
      <c r="I109" s="54"/>
      <c r="J109" s="54"/>
      <c r="K109" s="54"/>
      <c r="L109" s="54"/>
      <c r="M109" s="54"/>
      <c r="N109" s="54"/>
      <c r="O109" s="54"/>
      <c r="P109" s="54"/>
      <c r="Q109" s="54"/>
      <c r="R109" s="54"/>
      <c r="S109" s="54"/>
      <c r="T109" s="54"/>
      <c r="U109" s="54"/>
      <c r="V109" s="54"/>
      <c r="W109" s="54"/>
      <c r="X109" s="54"/>
    </row>
    <row r="110" spans="1:24" customFormat="1" ht="12.75" customHeight="1" x14ac:dyDescent="0.2">
      <c r="A110" s="58" t="s">
        <v>2173</v>
      </c>
      <c r="B110" s="53" t="s">
        <v>2174</v>
      </c>
      <c r="C110" s="59" t="s">
        <v>2173</v>
      </c>
      <c r="D110" s="272">
        <v>0</v>
      </c>
      <c r="E110" s="272">
        <v>0</v>
      </c>
      <c r="F110" s="60" t="str">
        <f t="shared" si="3"/>
        <v>-</v>
      </c>
      <c r="G110" s="54"/>
      <c r="H110" s="54"/>
      <c r="I110" s="54"/>
      <c r="J110" s="54"/>
      <c r="K110" s="54"/>
      <c r="L110" s="54"/>
      <c r="M110" s="54"/>
      <c r="N110" s="54"/>
      <c r="O110" s="54"/>
      <c r="P110" s="54"/>
      <c r="Q110" s="54"/>
      <c r="R110" s="54"/>
      <c r="S110" s="54"/>
      <c r="T110" s="54"/>
      <c r="U110" s="54"/>
      <c r="V110" s="54"/>
      <c r="W110" s="54"/>
      <c r="X110" s="54"/>
    </row>
    <row r="111" spans="1:24" customFormat="1" ht="12.75" customHeight="1" x14ac:dyDescent="0.2">
      <c r="A111" s="58" t="s">
        <v>2175</v>
      </c>
      <c r="B111" s="53" t="s">
        <v>2176</v>
      </c>
      <c r="C111" s="59" t="s">
        <v>2175</v>
      </c>
      <c r="D111" s="272">
        <v>0</v>
      </c>
      <c r="E111" s="272">
        <v>0</v>
      </c>
      <c r="F111" s="60" t="str">
        <f t="shared" si="3"/>
        <v>-</v>
      </c>
      <c r="G111" s="54"/>
      <c r="H111" s="54"/>
      <c r="I111" s="54"/>
      <c r="J111" s="54"/>
      <c r="K111" s="54"/>
      <c r="L111" s="54"/>
      <c r="M111" s="54"/>
      <c r="N111" s="54"/>
      <c r="O111" s="54"/>
      <c r="P111" s="54"/>
      <c r="Q111" s="54"/>
      <c r="R111" s="54"/>
      <c r="S111" s="54"/>
      <c r="T111" s="54"/>
      <c r="U111" s="54"/>
      <c r="V111" s="54"/>
      <c r="W111" s="54"/>
      <c r="X111" s="54"/>
    </row>
    <row r="112" spans="1:24" customFormat="1" ht="12.75" customHeight="1" x14ac:dyDescent="0.2">
      <c r="A112" s="58" t="s">
        <v>2177</v>
      </c>
      <c r="B112" s="53" t="s">
        <v>2178</v>
      </c>
      <c r="C112" s="59" t="s">
        <v>2177</v>
      </c>
      <c r="D112" s="272">
        <v>0</v>
      </c>
      <c r="E112" s="272">
        <v>0</v>
      </c>
      <c r="F112" s="60" t="str">
        <f t="shared" si="3"/>
        <v>-</v>
      </c>
      <c r="G112" s="54"/>
      <c r="H112" s="54"/>
      <c r="I112" s="54"/>
      <c r="J112" s="54"/>
      <c r="K112" s="54"/>
      <c r="L112" s="54"/>
      <c r="M112" s="54"/>
      <c r="N112" s="54"/>
      <c r="O112" s="54"/>
      <c r="P112" s="54"/>
      <c r="Q112" s="54"/>
      <c r="R112" s="54"/>
      <c r="S112" s="54"/>
      <c r="T112" s="54"/>
      <c r="U112" s="54"/>
      <c r="V112" s="54"/>
      <c r="W112" s="54"/>
      <c r="X112" s="54"/>
    </row>
    <row r="113" spans="1:24" customFormat="1" ht="12.75" customHeight="1" x14ac:dyDescent="0.2">
      <c r="A113" s="58" t="s">
        <v>2179</v>
      </c>
      <c r="B113" s="53" t="s">
        <v>2180</v>
      </c>
      <c r="C113" s="59" t="s">
        <v>2179</v>
      </c>
      <c r="D113" s="272">
        <v>0</v>
      </c>
      <c r="E113" s="272">
        <v>0</v>
      </c>
      <c r="F113" s="60" t="str">
        <f t="shared" si="3"/>
        <v>-</v>
      </c>
      <c r="G113" s="54"/>
      <c r="H113" s="54"/>
      <c r="I113" s="54"/>
      <c r="J113" s="54"/>
      <c r="K113" s="54"/>
      <c r="L113" s="54"/>
      <c r="M113" s="54"/>
      <c r="N113" s="54"/>
      <c r="O113" s="54"/>
      <c r="P113" s="54"/>
      <c r="Q113" s="54"/>
      <c r="R113" s="54"/>
      <c r="S113" s="54"/>
      <c r="T113" s="54"/>
      <c r="U113" s="54"/>
      <c r="V113" s="54"/>
      <c r="W113" s="54"/>
      <c r="X113" s="54"/>
    </row>
    <row r="114" spans="1:24" customFormat="1" ht="12.75" customHeight="1" x14ac:dyDescent="0.2">
      <c r="A114" s="58" t="s">
        <v>2181</v>
      </c>
      <c r="B114" s="53" t="s">
        <v>2182</v>
      </c>
      <c r="C114" s="59" t="s">
        <v>2181</v>
      </c>
      <c r="D114" s="272">
        <v>0</v>
      </c>
      <c r="E114" s="272">
        <v>0</v>
      </c>
      <c r="F114" s="60" t="str">
        <f t="shared" si="3"/>
        <v>-</v>
      </c>
      <c r="G114" s="54"/>
      <c r="H114" s="54"/>
      <c r="I114" s="54"/>
      <c r="J114" s="54"/>
      <c r="K114" s="54"/>
      <c r="L114" s="54"/>
      <c r="M114" s="54"/>
      <c r="N114" s="54"/>
      <c r="O114" s="54"/>
      <c r="P114" s="54"/>
      <c r="Q114" s="54"/>
      <c r="R114" s="54"/>
      <c r="S114" s="54"/>
      <c r="T114" s="54"/>
      <c r="U114" s="54"/>
      <c r="V114" s="54"/>
      <c r="W114" s="54"/>
      <c r="X114" s="54"/>
    </row>
    <row r="115" spans="1:24" customFormat="1" ht="12.75" customHeight="1" x14ac:dyDescent="0.2">
      <c r="A115" s="58" t="s">
        <v>2183</v>
      </c>
      <c r="B115" s="53" t="s">
        <v>2184</v>
      </c>
      <c r="C115" s="59" t="s">
        <v>2183</v>
      </c>
      <c r="D115" s="272">
        <v>0</v>
      </c>
      <c r="E115" s="272">
        <v>0</v>
      </c>
      <c r="F115" s="60" t="str">
        <f t="shared" si="3"/>
        <v>-</v>
      </c>
      <c r="G115" s="54"/>
      <c r="H115" s="54"/>
      <c r="I115" s="54"/>
      <c r="J115" s="54"/>
      <c r="K115" s="54"/>
      <c r="L115" s="54"/>
      <c r="M115" s="54"/>
      <c r="N115" s="54"/>
      <c r="O115" s="54"/>
      <c r="P115" s="54"/>
      <c r="Q115" s="54"/>
      <c r="R115" s="54"/>
      <c r="S115" s="54"/>
      <c r="T115" s="54"/>
      <c r="U115" s="54"/>
      <c r="V115" s="54"/>
      <c r="W115" s="54"/>
      <c r="X115" s="54"/>
    </row>
    <row r="116" spans="1:24" customFormat="1" ht="12.75" customHeight="1" x14ac:dyDescent="0.2">
      <c r="A116" s="58" t="s">
        <v>2185</v>
      </c>
      <c r="B116" s="53" t="s">
        <v>2186</v>
      </c>
      <c r="C116" s="59" t="s">
        <v>2185</v>
      </c>
      <c r="D116" s="272">
        <v>0</v>
      </c>
      <c r="E116" s="272">
        <v>0</v>
      </c>
      <c r="F116" s="60" t="str">
        <f t="shared" si="3"/>
        <v>-</v>
      </c>
      <c r="G116" s="54"/>
      <c r="H116" s="54"/>
      <c r="I116" s="54"/>
      <c r="J116" s="54"/>
      <c r="K116" s="54"/>
      <c r="L116" s="54"/>
      <c r="M116" s="54"/>
      <c r="N116" s="54"/>
      <c r="O116" s="54"/>
      <c r="P116" s="54"/>
      <c r="Q116" s="54"/>
      <c r="R116" s="54"/>
      <c r="S116" s="54"/>
      <c r="T116" s="54"/>
      <c r="U116" s="54"/>
      <c r="V116" s="54"/>
      <c r="W116" s="54"/>
      <c r="X116" s="54"/>
    </row>
    <row r="117" spans="1:24" customFormat="1" ht="12.75" customHeight="1" x14ac:dyDescent="0.2">
      <c r="A117" s="58" t="s">
        <v>2187</v>
      </c>
      <c r="B117" s="53" t="s">
        <v>2188</v>
      </c>
      <c r="C117" s="59" t="s">
        <v>2187</v>
      </c>
      <c r="D117" s="272">
        <v>0</v>
      </c>
      <c r="E117" s="272">
        <v>0</v>
      </c>
      <c r="F117" s="60" t="str">
        <f t="shared" si="3"/>
        <v>-</v>
      </c>
      <c r="G117" s="54"/>
      <c r="H117" s="54"/>
      <c r="I117" s="54"/>
      <c r="J117" s="54"/>
      <c r="K117" s="54"/>
      <c r="L117" s="54"/>
      <c r="M117" s="54"/>
      <c r="N117" s="54"/>
      <c r="O117" s="54"/>
      <c r="P117" s="54"/>
      <c r="Q117" s="54"/>
      <c r="R117" s="54"/>
      <c r="S117" s="54"/>
      <c r="T117" s="54"/>
      <c r="U117" s="54"/>
      <c r="V117" s="54"/>
      <c r="W117" s="54"/>
      <c r="X117" s="54"/>
    </row>
    <row r="118" spans="1:24" customFormat="1" ht="12.75" customHeight="1" x14ac:dyDescent="0.2">
      <c r="A118" s="58" t="s">
        <v>2189</v>
      </c>
      <c r="B118" s="53" t="s">
        <v>2190</v>
      </c>
      <c r="C118" s="59" t="s">
        <v>2189</v>
      </c>
      <c r="D118" s="271">
        <f>D119+D126-D133</f>
        <v>0</v>
      </c>
      <c r="E118" s="271">
        <f>E119+E126-E133</f>
        <v>0</v>
      </c>
      <c r="F118" s="60" t="str">
        <f t="shared" si="3"/>
        <v>-</v>
      </c>
      <c r="G118" s="54"/>
      <c r="H118" s="54"/>
      <c r="I118" s="54"/>
      <c r="J118" s="54"/>
      <c r="K118" s="54"/>
      <c r="L118" s="54"/>
      <c r="M118" s="54"/>
      <c r="N118" s="54"/>
      <c r="O118" s="54"/>
      <c r="P118" s="54"/>
      <c r="Q118" s="54"/>
      <c r="R118" s="54"/>
      <c r="S118" s="54"/>
      <c r="T118" s="54"/>
      <c r="U118" s="54"/>
      <c r="V118" s="54"/>
      <c r="W118" s="54"/>
      <c r="X118" s="54"/>
    </row>
    <row r="119" spans="1:24" customFormat="1" ht="12.75" customHeight="1" x14ac:dyDescent="0.2">
      <c r="A119" s="58"/>
      <c r="B119" s="53" t="s">
        <v>2191</v>
      </c>
      <c r="C119" s="59" t="s">
        <v>2192</v>
      </c>
      <c r="D119" s="271">
        <f>SUM(D120:D125)</f>
        <v>0</v>
      </c>
      <c r="E119" s="271">
        <f>SUM(E120:E125)</f>
        <v>0</v>
      </c>
      <c r="F119" s="60" t="str">
        <f t="shared" si="3"/>
        <v>-</v>
      </c>
      <c r="G119" s="54"/>
      <c r="H119" s="54"/>
      <c r="I119" s="54"/>
      <c r="J119" s="54"/>
      <c r="K119" s="54"/>
      <c r="L119" s="54"/>
      <c r="M119" s="54"/>
      <c r="N119" s="54"/>
      <c r="O119" s="54"/>
      <c r="P119" s="54"/>
      <c r="Q119" s="54"/>
      <c r="R119" s="54"/>
      <c r="S119" s="54"/>
      <c r="T119" s="54"/>
      <c r="U119" s="54"/>
      <c r="V119" s="54"/>
      <c r="W119" s="54"/>
      <c r="X119" s="54"/>
    </row>
    <row r="120" spans="1:24" customFormat="1" ht="12.75" customHeight="1" x14ac:dyDescent="0.2">
      <c r="A120" s="58" t="s">
        <v>2193</v>
      </c>
      <c r="B120" s="53" t="s">
        <v>2194</v>
      </c>
      <c r="C120" s="59" t="s">
        <v>2193</v>
      </c>
      <c r="D120" s="272">
        <v>0</v>
      </c>
      <c r="E120" s="272">
        <v>0</v>
      </c>
      <c r="F120" s="60" t="str">
        <f t="shared" si="3"/>
        <v>-</v>
      </c>
      <c r="G120" s="54"/>
      <c r="H120" s="54"/>
      <c r="I120" s="54"/>
      <c r="J120" s="54"/>
      <c r="K120" s="54"/>
      <c r="L120" s="54"/>
      <c r="M120" s="54"/>
      <c r="N120" s="54"/>
      <c r="O120" s="54"/>
      <c r="P120" s="54"/>
      <c r="Q120" s="54"/>
      <c r="R120" s="54"/>
      <c r="S120" s="54"/>
      <c r="T120" s="54"/>
      <c r="U120" s="54"/>
      <c r="V120" s="54"/>
      <c r="W120" s="54"/>
      <c r="X120" s="54"/>
    </row>
    <row r="121" spans="1:24" customFormat="1" ht="12.75" customHeight="1" x14ac:dyDescent="0.2">
      <c r="A121" s="58" t="s">
        <v>2195</v>
      </c>
      <c r="B121" s="53" t="s">
        <v>2196</v>
      </c>
      <c r="C121" s="59" t="s">
        <v>2195</v>
      </c>
      <c r="D121" s="272">
        <v>0</v>
      </c>
      <c r="E121" s="272">
        <v>0</v>
      </c>
      <c r="F121" s="60" t="str">
        <f t="shared" si="3"/>
        <v>-</v>
      </c>
      <c r="G121" s="54"/>
      <c r="H121" s="54"/>
      <c r="I121" s="54"/>
      <c r="J121" s="54"/>
      <c r="K121" s="54"/>
      <c r="L121" s="54"/>
      <c r="M121" s="54"/>
      <c r="N121" s="54"/>
      <c r="O121" s="54"/>
      <c r="P121" s="54"/>
      <c r="Q121" s="54"/>
      <c r="R121" s="54"/>
      <c r="S121" s="54"/>
      <c r="T121" s="54"/>
      <c r="U121" s="54"/>
      <c r="V121" s="54"/>
      <c r="W121" s="54"/>
      <c r="X121" s="54"/>
    </row>
    <row r="122" spans="1:24" customFormat="1" ht="12.75" customHeight="1" x14ac:dyDescent="0.2">
      <c r="A122" s="58" t="s">
        <v>2197</v>
      </c>
      <c r="B122" s="53" t="s">
        <v>2198</v>
      </c>
      <c r="C122" s="59" t="s">
        <v>2197</v>
      </c>
      <c r="D122" s="272">
        <v>0</v>
      </c>
      <c r="E122" s="272">
        <v>0</v>
      </c>
      <c r="F122" s="60" t="str">
        <f t="shared" si="3"/>
        <v>-</v>
      </c>
      <c r="G122" s="54"/>
      <c r="H122" s="54"/>
      <c r="I122" s="54"/>
      <c r="J122" s="54"/>
      <c r="K122" s="54"/>
      <c r="L122" s="54"/>
      <c r="M122" s="54"/>
      <c r="N122" s="54"/>
      <c r="O122" s="54"/>
      <c r="P122" s="54"/>
      <c r="Q122" s="54"/>
      <c r="R122" s="54"/>
      <c r="S122" s="54"/>
      <c r="T122" s="54"/>
      <c r="U122" s="54"/>
      <c r="V122" s="54"/>
      <c r="W122" s="54"/>
      <c r="X122" s="54"/>
    </row>
    <row r="123" spans="1:24" customFormat="1" ht="12.75" customHeight="1" x14ac:dyDescent="0.2">
      <c r="A123" s="58" t="s">
        <v>2199</v>
      </c>
      <c r="B123" s="53" t="s">
        <v>2200</v>
      </c>
      <c r="C123" s="59" t="s">
        <v>2199</v>
      </c>
      <c r="D123" s="272">
        <v>0</v>
      </c>
      <c r="E123" s="272">
        <v>0</v>
      </c>
      <c r="F123" s="60" t="str">
        <f t="shared" si="3"/>
        <v>-</v>
      </c>
      <c r="G123" s="54"/>
      <c r="H123" s="54"/>
      <c r="I123" s="54"/>
      <c r="J123" s="54"/>
      <c r="K123" s="54"/>
      <c r="L123" s="54"/>
      <c r="M123" s="54"/>
      <c r="N123" s="54"/>
      <c r="O123" s="54"/>
      <c r="P123" s="54"/>
      <c r="Q123" s="54"/>
      <c r="R123" s="54"/>
      <c r="S123" s="54"/>
      <c r="T123" s="54"/>
      <c r="U123" s="54"/>
      <c r="V123" s="54"/>
      <c r="W123" s="54"/>
      <c r="X123" s="54"/>
    </row>
    <row r="124" spans="1:24" customFormat="1" ht="12.75" customHeight="1" x14ac:dyDescent="0.2">
      <c r="A124" s="58" t="s">
        <v>2201</v>
      </c>
      <c r="B124" s="53" t="s">
        <v>2202</v>
      </c>
      <c r="C124" s="59" t="s">
        <v>2201</v>
      </c>
      <c r="D124" s="272">
        <v>0</v>
      </c>
      <c r="E124" s="272">
        <v>0</v>
      </c>
      <c r="F124" s="60" t="str">
        <f t="shared" si="3"/>
        <v>-</v>
      </c>
      <c r="G124" s="54"/>
      <c r="H124" s="54"/>
      <c r="I124" s="54"/>
      <c r="J124" s="54"/>
      <c r="K124" s="54"/>
      <c r="L124" s="54"/>
      <c r="M124" s="54"/>
      <c r="N124" s="54"/>
      <c r="O124" s="54"/>
      <c r="P124" s="54"/>
      <c r="Q124" s="54"/>
      <c r="R124" s="54"/>
      <c r="S124" s="54"/>
      <c r="T124" s="54"/>
      <c r="U124" s="54"/>
      <c r="V124" s="54"/>
      <c r="W124" s="54"/>
      <c r="X124" s="54"/>
    </row>
    <row r="125" spans="1:24" customFormat="1" ht="12.75" customHeight="1" x14ac:dyDescent="0.2">
      <c r="A125" s="58" t="s">
        <v>2203</v>
      </c>
      <c r="B125" s="53" t="s">
        <v>2204</v>
      </c>
      <c r="C125" s="59" t="s">
        <v>2203</v>
      </c>
      <c r="D125" s="272">
        <v>0</v>
      </c>
      <c r="E125" s="272">
        <v>0</v>
      </c>
      <c r="F125" s="60" t="str">
        <f t="shared" si="3"/>
        <v>-</v>
      </c>
      <c r="G125" s="54"/>
      <c r="H125" s="54"/>
      <c r="I125" s="54"/>
      <c r="J125" s="54"/>
      <c r="K125" s="54"/>
      <c r="L125" s="54"/>
      <c r="M125" s="54"/>
      <c r="N125" s="54"/>
      <c r="O125" s="54"/>
      <c r="P125" s="54"/>
      <c r="Q125" s="54"/>
      <c r="R125" s="54"/>
      <c r="S125" s="54"/>
      <c r="T125" s="54"/>
      <c r="U125" s="54"/>
      <c r="V125" s="54"/>
      <c r="W125" s="54"/>
      <c r="X125" s="54"/>
    </row>
    <row r="126" spans="1:24" customFormat="1" ht="12.75" customHeight="1" x14ac:dyDescent="0.2">
      <c r="A126" s="58"/>
      <c r="B126" s="53" t="s">
        <v>2205</v>
      </c>
      <c r="C126" s="59" t="s">
        <v>2206</v>
      </c>
      <c r="D126" s="271">
        <f>SUM(D127:D132)</f>
        <v>0</v>
      </c>
      <c r="E126" s="271">
        <f>SUM(E127:E132)</f>
        <v>0</v>
      </c>
      <c r="F126" s="60" t="str">
        <f t="shared" si="3"/>
        <v>-</v>
      </c>
      <c r="G126" s="54"/>
      <c r="H126" s="54"/>
      <c r="I126" s="54"/>
      <c r="J126" s="54"/>
      <c r="K126" s="54"/>
      <c r="L126" s="54"/>
      <c r="M126" s="54"/>
      <c r="N126" s="54"/>
      <c r="O126" s="54"/>
      <c r="P126" s="54"/>
      <c r="Q126" s="54"/>
      <c r="R126" s="54"/>
      <c r="S126" s="54"/>
      <c r="T126" s="54"/>
      <c r="U126" s="54"/>
      <c r="V126" s="54"/>
      <c r="W126" s="54"/>
      <c r="X126" s="54"/>
    </row>
    <row r="127" spans="1:24" customFormat="1" ht="12.75" customHeight="1" x14ac:dyDescent="0.2">
      <c r="A127" s="58" t="s">
        <v>2207</v>
      </c>
      <c r="B127" s="53" t="s">
        <v>2194</v>
      </c>
      <c r="C127" s="59" t="s">
        <v>2207</v>
      </c>
      <c r="D127" s="272">
        <v>0</v>
      </c>
      <c r="E127" s="272">
        <v>0</v>
      </c>
      <c r="F127" s="60" t="str">
        <f t="shared" si="3"/>
        <v>-</v>
      </c>
      <c r="G127" s="54"/>
      <c r="H127" s="54"/>
      <c r="I127" s="54"/>
      <c r="J127" s="54"/>
      <c r="K127" s="54"/>
      <c r="L127" s="54"/>
      <c r="M127" s="54"/>
      <c r="N127" s="54"/>
      <c r="O127" s="54"/>
      <c r="P127" s="54"/>
      <c r="Q127" s="54"/>
      <c r="R127" s="54"/>
      <c r="S127" s="54"/>
      <c r="T127" s="54"/>
      <c r="U127" s="54"/>
      <c r="V127" s="54"/>
      <c r="W127" s="54"/>
      <c r="X127" s="54"/>
    </row>
    <row r="128" spans="1:24" customFormat="1" ht="12.75" customHeight="1" x14ac:dyDescent="0.2">
      <c r="A128" s="58" t="s">
        <v>2208</v>
      </c>
      <c r="B128" s="53" t="s">
        <v>2196</v>
      </c>
      <c r="C128" s="59" t="s">
        <v>2208</v>
      </c>
      <c r="D128" s="272">
        <v>0</v>
      </c>
      <c r="E128" s="272">
        <v>0</v>
      </c>
      <c r="F128" s="60" t="str">
        <f t="shared" si="3"/>
        <v>-</v>
      </c>
      <c r="G128" s="54"/>
      <c r="H128" s="54"/>
      <c r="I128" s="54"/>
      <c r="J128" s="54"/>
      <c r="K128" s="54"/>
      <c r="L128" s="54"/>
      <c r="M128" s="54"/>
      <c r="N128" s="54"/>
      <c r="O128" s="54"/>
      <c r="P128" s="54"/>
      <c r="Q128" s="54"/>
      <c r="R128" s="54"/>
      <c r="S128" s="54"/>
      <c r="T128" s="54"/>
      <c r="U128" s="54"/>
      <c r="V128" s="54"/>
      <c r="W128" s="54"/>
      <c r="X128" s="54"/>
    </row>
    <row r="129" spans="1:24" customFormat="1" ht="12.75" customHeight="1" x14ac:dyDescent="0.2">
      <c r="A129" s="58" t="s">
        <v>2209</v>
      </c>
      <c r="B129" s="53" t="s">
        <v>2198</v>
      </c>
      <c r="C129" s="59" t="s">
        <v>2209</v>
      </c>
      <c r="D129" s="272">
        <v>0</v>
      </c>
      <c r="E129" s="272">
        <v>0</v>
      </c>
      <c r="F129" s="60" t="str">
        <f t="shared" si="3"/>
        <v>-</v>
      </c>
      <c r="G129" s="54"/>
      <c r="H129" s="54"/>
      <c r="I129" s="54"/>
      <c r="J129" s="54"/>
      <c r="K129" s="54"/>
      <c r="L129" s="54"/>
      <c r="M129" s="54"/>
      <c r="N129" s="54"/>
      <c r="O129" s="54"/>
      <c r="P129" s="54"/>
      <c r="Q129" s="54"/>
      <c r="R129" s="54"/>
      <c r="S129" s="54"/>
      <c r="T129" s="54"/>
      <c r="U129" s="54"/>
      <c r="V129" s="54"/>
      <c r="W129" s="54"/>
      <c r="X129" s="54"/>
    </row>
    <row r="130" spans="1:24" customFormat="1" ht="12.75" customHeight="1" x14ac:dyDescent="0.2">
      <c r="A130" s="58" t="s">
        <v>2210</v>
      </c>
      <c r="B130" s="53" t="s">
        <v>2200</v>
      </c>
      <c r="C130" s="59" t="s">
        <v>2210</v>
      </c>
      <c r="D130" s="272">
        <v>0</v>
      </c>
      <c r="E130" s="272">
        <v>0</v>
      </c>
      <c r="F130" s="60" t="str">
        <f t="shared" si="3"/>
        <v>-</v>
      </c>
      <c r="G130" s="54"/>
      <c r="H130" s="54"/>
      <c r="I130" s="54"/>
      <c r="J130" s="54"/>
      <c r="K130" s="54"/>
      <c r="L130" s="54"/>
      <c r="M130" s="54"/>
      <c r="N130" s="54"/>
      <c r="O130" s="54"/>
      <c r="P130" s="54"/>
      <c r="Q130" s="54"/>
      <c r="R130" s="54"/>
      <c r="S130" s="54"/>
      <c r="T130" s="54"/>
      <c r="U130" s="54"/>
      <c r="V130" s="54"/>
      <c r="W130" s="54"/>
      <c r="X130" s="54"/>
    </row>
    <row r="131" spans="1:24" customFormat="1" ht="12.75" customHeight="1" x14ac:dyDescent="0.2">
      <c r="A131" s="58" t="s">
        <v>2211</v>
      </c>
      <c r="B131" s="53" t="s">
        <v>2202</v>
      </c>
      <c r="C131" s="59" t="s">
        <v>2211</v>
      </c>
      <c r="D131" s="272">
        <v>0</v>
      </c>
      <c r="E131" s="272">
        <v>0</v>
      </c>
      <c r="F131" s="60" t="str">
        <f t="shared" si="3"/>
        <v>-</v>
      </c>
      <c r="G131" s="54"/>
      <c r="H131" s="54"/>
      <c r="I131" s="54"/>
      <c r="J131" s="54"/>
      <c r="K131" s="54"/>
      <c r="L131" s="54"/>
      <c r="M131" s="54"/>
      <c r="N131" s="54"/>
      <c r="O131" s="54"/>
      <c r="P131" s="54"/>
      <c r="Q131" s="54"/>
      <c r="R131" s="54"/>
      <c r="S131" s="54"/>
      <c r="T131" s="54"/>
      <c r="U131" s="54"/>
      <c r="V131" s="54"/>
      <c r="W131" s="54"/>
      <c r="X131" s="54"/>
    </row>
    <row r="132" spans="1:24" customFormat="1" ht="12.75" customHeight="1" x14ac:dyDescent="0.2">
      <c r="A132" s="58" t="s">
        <v>2212</v>
      </c>
      <c r="B132" s="53" t="s">
        <v>2204</v>
      </c>
      <c r="C132" s="59" t="s">
        <v>2212</v>
      </c>
      <c r="D132" s="272">
        <v>0</v>
      </c>
      <c r="E132" s="272">
        <v>0</v>
      </c>
      <c r="F132" s="60" t="str">
        <f t="shared" si="3"/>
        <v>-</v>
      </c>
      <c r="G132" s="54"/>
      <c r="H132" s="54"/>
      <c r="I132" s="54"/>
      <c r="J132" s="54"/>
      <c r="K132" s="54"/>
      <c r="L132" s="54"/>
      <c r="M132" s="54"/>
      <c r="N132" s="54"/>
      <c r="O132" s="54"/>
      <c r="P132" s="54"/>
      <c r="Q132" s="54"/>
      <c r="R132" s="54"/>
      <c r="S132" s="54"/>
      <c r="T132" s="54"/>
      <c r="U132" s="54"/>
      <c r="V132" s="54"/>
      <c r="W132" s="54"/>
      <c r="X132" s="54"/>
    </row>
    <row r="133" spans="1:24" customFormat="1" ht="12.75" customHeight="1" x14ac:dyDescent="0.2">
      <c r="A133" s="58" t="s">
        <v>2213</v>
      </c>
      <c r="B133" s="53" t="s">
        <v>2214</v>
      </c>
      <c r="C133" s="59" t="s">
        <v>2213</v>
      </c>
      <c r="D133" s="272">
        <v>0</v>
      </c>
      <c r="E133" s="272">
        <v>0</v>
      </c>
      <c r="F133" s="60" t="str">
        <f t="shared" si="3"/>
        <v>-</v>
      </c>
      <c r="G133" s="54"/>
      <c r="H133" s="54"/>
      <c r="I133" s="54"/>
      <c r="J133" s="54"/>
      <c r="K133" s="54"/>
      <c r="L133" s="54"/>
      <c r="M133" s="54"/>
      <c r="N133" s="54"/>
      <c r="O133" s="54"/>
      <c r="P133" s="54"/>
      <c r="Q133" s="54"/>
      <c r="R133" s="54"/>
      <c r="S133" s="54"/>
      <c r="T133" s="54"/>
      <c r="U133" s="54"/>
      <c r="V133" s="54"/>
      <c r="W133" s="54"/>
      <c r="X133" s="54"/>
    </row>
    <row r="134" spans="1:24" customFormat="1" ht="12.75" customHeight="1" x14ac:dyDescent="0.2">
      <c r="A134" s="58" t="s">
        <v>2215</v>
      </c>
      <c r="B134" s="53" t="s">
        <v>2216</v>
      </c>
      <c r="C134" s="59" t="s">
        <v>2215</v>
      </c>
      <c r="D134" s="271">
        <f>D135+D142-D145</f>
        <v>30765.15</v>
      </c>
      <c r="E134" s="271">
        <f>E135+E142-E145</f>
        <v>30754.49</v>
      </c>
      <c r="F134" s="60">
        <f t="shared" ref="F134:F165" si="4">IF(D134&gt;0,IF(E134/D134&gt;=100,"&gt;&gt;100",E134/D134*100),"-")</f>
        <v>99.965350404597402</v>
      </c>
      <c r="G134" s="54"/>
      <c r="H134" s="54"/>
      <c r="I134" s="54"/>
      <c r="J134" s="54"/>
      <c r="K134" s="54"/>
      <c r="L134" s="54"/>
      <c r="M134" s="54"/>
      <c r="N134" s="54"/>
      <c r="O134" s="54"/>
      <c r="P134" s="54"/>
      <c r="Q134" s="54"/>
      <c r="R134" s="54"/>
      <c r="S134" s="54"/>
      <c r="T134" s="54"/>
      <c r="U134" s="54"/>
      <c r="V134" s="54"/>
      <c r="W134" s="54"/>
      <c r="X134" s="54"/>
    </row>
    <row r="135" spans="1:24" customFormat="1" ht="24" customHeight="1" x14ac:dyDescent="0.2">
      <c r="A135" s="58"/>
      <c r="B135" s="53" t="s">
        <v>2217</v>
      </c>
      <c r="C135" s="59" t="s">
        <v>2218</v>
      </c>
      <c r="D135" s="271">
        <f>SUM(D136:D141)</f>
        <v>30765.15</v>
      </c>
      <c r="E135" s="271">
        <f>SUM(E136:E141)</f>
        <v>30754.49</v>
      </c>
      <c r="F135" s="60">
        <f t="shared" si="4"/>
        <v>99.965350404597402</v>
      </c>
      <c r="G135" s="54"/>
      <c r="H135" s="54"/>
      <c r="I135" s="54"/>
      <c r="J135" s="54"/>
      <c r="K135" s="54"/>
      <c r="L135" s="54"/>
      <c r="M135" s="54"/>
      <c r="N135" s="54"/>
      <c r="O135" s="54"/>
      <c r="P135" s="54"/>
      <c r="Q135" s="54"/>
      <c r="R135" s="54"/>
      <c r="S135" s="54"/>
      <c r="T135" s="54"/>
      <c r="U135" s="54"/>
      <c r="V135" s="54"/>
      <c r="W135" s="54"/>
      <c r="X135" s="54"/>
    </row>
    <row r="136" spans="1:24" customFormat="1" ht="12.75" customHeight="1" x14ac:dyDescent="0.2">
      <c r="A136" s="58" t="s">
        <v>2219</v>
      </c>
      <c r="B136" s="53" t="s">
        <v>955</v>
      </c>
      <c r="C136" s="59" t="s">
        <v>2219</v>
      </c>
      <c r="D136" s="272">
        <v>0</v>
      </c>
      <c r="E136" s="272">
        <v>0</v>
      </c>
      <c r="F136" s="60" t="str">
        <f t="shared" si="4"/>
        <v>-</v>
      </c>
      <c r="G136" s="54"/>
      <c r="H136" s="54"/>
      <c r="I136" s="54"/>
      <c r="J136" s="54"/>
      <c r="K136" s="54"/>
      <c r="L136" s="54"/>
      <c r="M136" s="54"/>
      <c r="N136" s="54"/>
      <c r="O136" s="54"/>
      <c r="P136" s="54"/>
      <c r="Q136" s="54"/>
      <c r="R136" s="54"/>
      <c r="S136" s="54"/>
      <c r="T136" s="54"/>
      <c r="U136" s="54"/>
      <c r="V136" s="54"/>
      <c r="W136" s="54"/>
      <c r="X136" s="54"/>
    </row>
    <row r="137" spans="1:24" customFormat="1" ht="12.75" customHeight="1" x14ac:dyDescent="0.2">
      <c r="A137" s="58" t="s">
        <v>2220</v>
      </c>
      <c r="B137" s="53" t="s">
        <v>957</v>
      </c>
      <c r="C137" s="59" t="s">
        <v>2220</v>
      </c>
      <c r="D137" s="272">
        <v>0</v>
      </c>
      <c r="E137" s="272">
        <v>0</v>
      </c>
      <c r="F137" s="60" t="str">
        <f t="shared" si="4"/>
        <v>-</v>
      </c>
      <c r="G137" s="54"/>
      <c r="H137" s="54"/>
      <c r="I137" s="54"/>
      <c r="J137" s="54"/>
      <c r="K137" s="54"/>
      <c r="L137" s="54"/>
      <c r="M137" s="54"/>
      <c r="N137" s="54"/>
      <c r="O137" s="54"/>
      <c r="P137" s="54"/>
      <c r="Q137" s="54"/>
      <c r="R137" s="54"/>
      <c r="S137" s="54"/>
      <c r="T137" s="54"/>
      <c r="U137" s="54"/>
      <c r="V137" s="54"/>
      <c r="W137" s="54"/>
      <c r="X137" s="54"/>
    </row>
    <row r="138" spans="1:24" customFormat="1" ht="12.75" customHeight="1" x14ac:dyDescent="0.2">
      <c r="A138" s="58" t="s">
        <v>2221</v>
      </c>
      <c r="B138" s="53" t="s">
        <v>959</v>
      </c>
      <c r="C138" s="59" t="s">
        <v>2221</v>
      </c>
      <c r="D138" s="272">
        <v>0</v>
      </c>
      <c r="E138" s="272">
        <v>0</v>
      </c>
      <c r="F138" s="60" t="str">
        <f t="shared" si="4"/>
        <v>-</v>
      </c>
      <c r="G138" s="54"/>
      <c r="H138" s="54"/>
      <c r="I138" s="54"/>
      <c r="J138" s="54"/>
      <c r="K138" s="54"/>
      <c r="L138" s="54"/>
      <c r="M138" s="54"/>
      <c r="N138" s="54"/>
      <c r="O138" s="54"/>
      <c r="P138" s="54"/>
      <c r="Q138" s="54"/>
      <c r="R138" s="54"/>
      <c r="S138" s="54"/>
      <c r="T138" s="54"/>
      <c r="U138" s="54"/>
      <c r="V138" s="54"/>
      <c r="W138" s="54"/>
      <c r="X138" s="54"/>
    </row>
    <row r="139" spans="1:24" customFormat="1" ht="12.75" customHeight="1" x14ac:dyDescent="0.2">
      <c r="A139" s="58" t="s">
        <v>2222</v>
      </c>
      <c r="B139" s="53" t="s">
        <v>1171</v>
      </c>
      <c r="C139" s="59" t="s">
        <v>2222</v>
      </c>
      <c r="D139" s="272">
        <v>30765.15</v>
      </c>
      <c r="E139" s="272">
        <v>30754.49</v>
      </c>
      <c r="F139" s="60">
        <f t="shared" si="4"/>
        <v>99.965350404597402</v>
      </c>
      <c r="G139" s="54"/>
      <c r="H139" s="54"/>
      <c r="I139" s="54"/>
      <c r="J139" s="54"/>
      <c r="K139" s="54"/>
      <c r="L139" s="54"/>
      <c r="M139" s="54"/>
      <c r="N139" s="54"/>
      <c r="O139" s="54"/>
      <c r="P139" s="54"/>
      <c r="Q139" s="54"/>
      <c r="R139" s="54"/>
      <c r="S139" s="54"/>
      <c r="T139" s="54"/>
      <c r="U139" s="54"/>
      <c r="V139" s="54"/>
      <c r="W139" s="54"/>
      <c r="X139" s="54"/>
    </row>
    <row r="140" spans="1:24" customFormat="1" ht="24" customHeight="1" x14ac:dyDescent="0.2">
      <c r="A140" s="58" t="s">
        <v>2223</v>
      </c>
      <c r="B140" s="122" t="s">
        <v>1175</v>
      </c>
      <c r="C140" s="59" t="s">
        <v>2223</v>
      </c>
      <c r="D140" s="272">
        <v>0</v>
      </c>
      <c r="E140" s="272">
        <v>0</v>
      </c>
      <c r="F140" s="60" t="str">
        <f t="shared" si="4"/>
        <v>-</v>
      </c>
      <c r="G140" s="54"/>
      <c r="H140" s="54"/>
      <c r="I140" s="54"/>
      <c r="J140" s="54"/>
      <c r="K140" s="54"/>
      <c r="L140" s="54"/>
      <c r="M140" s="54"/>
      <c r="N140" s="54"/>
      <c r="O140" s="54"/>
      <c r="P140" s="54"/>
      <c r="Q140" s="54"/>
      <c r="R140" s="54"/>
      <c r="S140" s="54"/>
      <c r="T140" s="54"/>
      <c r="U140" s="54"/>
      <c r="V140" s="54"/>
      <c r="W140" s="54"/>
      <c r="X140" s="54"/>
    </row>
    <row r="141" spans="1:24" customFormat="1" ht="12.75" customHeight="1" x14ac:dyDescent="0.2">
      <c r="A141" s="58" t="s">
        <v>2224</v>
      </c>
      <c r="B141" s="53" t="s">
        <v>1181</v>
      </c>
      <c r="C141" s="59" t="s">
        <v>2224</v>
      </c>
      <c r="D141" s="272">
        <v>0</v>
      </c>
      <c r="E141" s="272">
        <v>0</v>
      </c>
      <c r="F141" s="60" t="str">
        <f t="shared" si="4"/>
        <v>-</v>
      </c>
      <c r="G141" s="54"/>
      <c r="H141" s="54"/>
      <c r="I141" s="54"/>
      <c r="J141" s="54"/>
      <c r="K141" s="54"/>
      <c r="L141" s="54"/>
      <c r="M141" s="54"/>
      <c r="N141" s="54"/>
      <c r="O141" s="54"/>
      <c r="P141" s="54"/>
      <c r="Q141" s="54"/>
      <c r="R141" s="54"/>
      <c r="S141" s="54"/>
      <c r="T141" s="54"/>
      <c r="U141" s="54"/>
      <c r="V141" s="54"/>
      <c r="W141" s="54"/>
      <c r="X141" s="54"/>
    </row>
    <row r="142" spans="1:24" customFormat="1" ht="12.75" customHeight="1" x14ac:dyDescent="0.2">
      <c r="A142" s="58"/>
      <c r="B142" s="53" t="s">
        <v>2225</v>
      </c>
      <c r="C142" s="59" t="s">
        <v>2226</v>
      </c>
      <c r="D142" s="271">
        <f>SUM(D143:D144)</f>
        <v>0</v>
      </c>
      <c r="E142" s="271">
        <f>SUM(E143:E144)</f>
        <v>0</v>
      </c>
      <c r="F142" s="60" t="str">
        <f t="shared" si="4"/>
        <v>-</v>
      </c>
      <c r="G142" s="54"/>
      <c r="H142" s="54"/>
      <c r="I142" s="54"/>
      <c r="J142" s="54"/>
      <c r="K142" s="54"/>
      <c r="L142" s="54"/>
      <c r="M142" s="54"/>
      <c r="N142" s="54"/>
      <c r="O142" s="54"/>
      <c r="P142" s="54"/>
      <c r="Q142" s="54"/>
      <c r="R142" s="54"/>
      <c r="S142" s="54"/>
      <c r="T142" s="54"/>
      <c r="U142" s="54"/>
      <c r="V142" s="54"/>
      <c r="W142" s="54"/>
      <c r="X142" s="54"/>
    </row>
    <row r="143" spans="1:24" customFormat="1" ht="12.75" customHeight="1" x14ac:dyDescent="0.2">
      <c r="A143" s="58" t="s">
        <v>2227</v>
      </c>
      <c r="B143" s="53" t="s">
        <v>1177</v>
      </c>
      <c r="C143" s="59" t="s">
        <v>2227</v>
      </c>
      <c r="D143" s="272">
        <v>0</v>
      </c>
      <c r="E143" s="272">
        <v>0</v>
      </c>
      <c r="F143" s="60" t="str">
        <f t="shared" si="4"/>
        <v>-</v>
      </c>
      <c r="G143" s="54"/>
      <c r="H143" s="54"/>
      <c r="I143" s="54"/>
      <c r="J143" s="54"/>
      <c r="K143" s="54"/>
      <c r="L143" s="54"/>
      <c r="M143" s="54"/>
      <c r="N143" s="54"/>
      <c r="O143" s="54"/>
      <c r="P143" s="54"/>
      <c r="Q143" s="54"/>
      <c r="R143" s="54"/>
      <c r="S143" s="54"/>
      <c r="T143" s="54"/>
      <c r="U143" s="54"/>
      <c r="V143" s="54"/>
      <c r="W143" s="54"/>
      <c r="X143" s="54"/>
    </row>
    <row r="144" spans="1:24" customFormat="1" ht="12.75" customHeight="1" x14ac:dyDescent="0.2">
      <c r="A144" s="58" t="s">
        <v>2228</v>
      </c>
      <c r="B144" s="53" t="s">
        <v>973</v>
      </c>
      <c r="C144" s="59" t="s">
        <v>2228</v>
      </c>
      <c r="D144" s="272">
        <v>0</v>
      </c>
      <c r="E144" s="272">
        <v>0</v>
      </c>
      <c r="F144" s="60" t="str">
        <f t="shared" si="4"/>
        <v>-</v>
      </c>
      <c r="G144" s="54"/>
      <c r="H144" s="54"/>
      <c r="I144" s="54"/>
      <c r="J144" s="54"/>
      <c r="K144" s="54"/>
      <c r="L144" s="54"/>
      <c r="M144" s="54"/>
      <c r="N144" s="54"/>
      <c r="O144" s="54"/>
      <c r="P144" s="54"/>
      <c r="Q144" s="54"/>
      <c r="R144" s="54"/>
      <c r="S144" s="54"/>
      <c r="T144" s="54"/>
      <c r="U144" s="54"/>
      <c r="V144" s="54"/>
      <c r="W144" s="54"/>
      <c r="X144" s="54"/>
    </row>
    <row r="145" spans="1:24" customFormat="1" ht="12.75" customHeight="1" x14ac:dyDescent="0.2">
      <c r="A145" s="58" t="s">
        <v>2229</v>
      </c>
      <c r="B145" s="53" t="s">
        <v>2230</v>
      </c>
      <c r="C145" s="59" t="s">
        <v>2229</v>
      </c>
      <c r="D145" s="272">
        <v>0</v>
      </c>
      <c r="E145" s="272">
        <v>0</v>
      </c>
      <c r="F145" s="60" t="str">
        <f t="shared" si="4"/>
        <v>-</v>
      </c>
      <c r="G145" s="54"/>
      <c r="H145" s="54"/>
      <c r="I145" s="54"/>
      <c r="J145" s="54"/>
      <c r="K145" s="54"/>
      <c r="L145" s="54"/>
      <c r="M145" s="54"/>
      <c r="N145" s="54"/>
      <c r="O145" s="54"/>
      <c r="P145" s="54"/>
      <c r="Q145" s="54"/>
      <c r="R145" s="54"/>
      <c r="S145" s="54"/>
      <c r="T145" s="54"/>
      <c r="U145" s="54"/>
      <c r="V145" s="54"/>
      <c r="W145" s="54"/>
      <c r="X145" s="54"/>
    </row>
    <row r="146" spans="1:24" customFormat="1" ht="12.75" customHeight="1" x14ac:dyDescent="0.2">
      <c r="A146" s="58" t="s">
        <v>2231</v>
      </c>
      <c r="B146" s="53" t="s">
        <v>2232</v>
      </c>
      <c r="C146" s="59" t="s">
        <v>2231</v>
      </c>
      <c r="D146" s="271">
        <f>SUM(D147:D149)+SUM(D158:D162)-D163</f>
        <v>10971.269999999999</v>
      </c>
      <c r="E146" s="271">
        <f>SUM(E147:E149)+SUM(E158:E162)-E163</f>
        <v>12714.609999999999</v>
      </c>
      <c r="F146" s="60">
        <f t="shared" si="4"/>
        <v>115.89004736917421</v>
      </c>
      <c r="G146" s="54"/>
      <c r="H146" s="54"/>
      <c r="I146" s="54"/>
      <c r="J146" s="54"/>
      <c r="K146" s="54"/>
      <c r="L146" s="54"/>
      <c r="M146" s="54"/>
      <c r="N146" s="54"/>
      <c r="O146" s="54"/>
      <c r="P146" s="54"/>
      <c r="Q146" s="54"/>
      <c r="R146" s="54"/>
      <c r="S146" s="54"/>
      <c r="T146" s="54"/>
      <c r="U146" s="54"/>
      <c r="V146" s="54"/>
      <c r="W146" s="54"/>
      <c r="X146" s="54"/>
    </row>
    <row r="147" spans="1:24" customFormat="1" ht="12.75" customHeight="1" x14ac:dyDescent="0.2">
      <c r="A147" s="58" t="s">
        <v>2233</v>
      </c>
      <c r="B147" s="53" t="s">
        <v>2234</v>
      </c>
      <c r="C147" s="59" t="s">
        <v>2233</v>
      </c>
      <c r="D147" s="272">
        <v>15725.33</v>
      </c>
      <c r="E147" s="272">
        <v>10218.209999999999</v>
      </c>
      <c r="F147" s="60">
        <f t="shared" si="4"/>
        <v>64.979304090915733</v>
      </c>
      <c r="G147" s="54"/>
      <c r="H147" s="54"/>
      <c r="I147" s="54"/>
      <c r="J147" s="54"/>
      <c r="K147" s="54"/>
      <c r="L147" s="54"/>
      <c r="M147" s="54"/>
      <c r="N147" s="54"/>
      <c r="O147" s="54"/>
      <c r="P147" s="54"/>
      <c r="Q147" s="54"/>
      <c r="R147" s="54"/>
      <c r="S147" s="54"/>
      <c r="T147" s="54"/>
      <c r="U147" s="54"/>
      <c r="V147" s="54"/>
      <c r="W147" s="54"/>
      <c r="X147" s="54"/>
    </row>
    <row r="148" spans="1:24" customFormat="1" ht="12.75" customHeight="1" x14ac:dyDescent="0.2">
      <c r="A148" s="58" t="s">
        <v>2235</v>
      </c>
      <c r="B148" s="53" t="s">
        <v>2236</v>
      </c>
      <c r="C148" s="59" t="s">
        <v>2235</v>
      </c>
      <c r="D148" s="272">
        <v>0</v>
      </c>
      <c r="E148" s="272">
        <v>0</v>
      </c>
      <c r="F148" s="60" t="str">
        <f t="shared" si="4"/>
        <v>-</v>
      </c>
      <c r="G148" s="54"/>
      <c r="H148" s="54"/>
      <c r="I148" s="54"/>
      <c r="J148" s="54"/>
      <c r="K148" s="54"/>
      <c r="L148" s="54"/>
      <c r="M148" s="54"/>
      <c r="N148" s="54"/>
      <c r="O148" s="54"/>
      <c r="P148" s="54"/>
      <c r="Q148" s="54"/>
      <c r="R148" s="54"/>
      <c r="S148" s="54"/>
      <c r="T148" s="54"/>
      <c r="U148" s="54"/>
      <c r="V148" s="54"/>
      <c r="W148" s="54"/>
      <c r="X148" s="54"/>
    </row>
    <row r="149" spans="1:24" customFormat="1" ht="24" customHeight="1" x14ac:dyDescent="0.2">
      <c r="A149" s="58" t="s">
        <v>2237</v>
      </c>
      <c r="B149" s="53" t="s">
        <v>2238</v>
      </c>
      <c r="C149" s="59" t="s">
        <v>2237</v>
      </c>
      <c r="D149" s="271">
        <f>SUM(D150:D157)</f>
        <v>0</v>
      </c>
      <c r="E149" s="271">
        <f>SUM(E150:E157)</f>
        <v>0</v>
      </c>
      <c r="F149" s="60" t="str">
        <f t="shared" si="4"/>
        <v>-</v>
      </c>
      <c r="G149" s="54"/>
      <c r="H149" s="54"/>
      <c r="I149" s="54"/>
      <c r="J149" s="54"/>
      <c r="K149" s="54"/>
      <c r="L149" s="54"/>
      <c r="M149" s="54"/>
      <c r="N149" s="54"/>
      <c r="O149" s="54"/>
      <c r="P149" s="54"/>
      <c r="Q149" s="54"/>
      <c r="R149" s="54"/>
      <c r="S149" s="54"/>
      <c r="T149" s="54"/>
      <c r="U149" s="54"/>
      <c r="V149" s="54"/>
      <c r="W149" s="54"/>
      <c r="X149" s="54"/>
    </row>
    <row r="150" spans="1:24" customFormat="1" ht="12.75" customHeight="1" x14ac:dyDescent="0.2">
      <c r="A150" s="58" t="s">
        <v>2239</v>
      </c>
      <c r="B150" s="53" t="s">
        <v>2240</v>
      </c>
      <c r="C150" s="59" t="s">
        <v>2239</v>
      </c>
      <c r="D150" s="272">
        <v>0</v>
      </c>
      <c r="E150" s="272">
        <v>0</v>
      </c>
      <c r="F150" s="60" t="str">
        <f t="shared" si="4"/>
        <v>-</v>
      </c>
      <c r="G150" s="54"/>
      <c r="H150" s="54"/>
      <c r="I150" s="54"/>
      <c r="J150" s="54"/>
      <c r="K150" s="54"/>
      <c r="L150" s="54"/>
      <c r="M150" s="54"/>
      <c r="N150" s="54"/>
      <c r="O150" s="54"/>
      <c r="P150" s="54"/>
      <c r="Q150" s="54"/>
      <c r="R150" s="54"/>
      <c r="S150" s="54"/>
      <c r="T150" s="54"/>
      <c r="U150" s="54"/>
      <c r="V150" s="54"/>
      <c r="W150" s="54"/>
      <c r="X150" s="54"/>
    </row>
    <row r="151" spans="1:24" customFormat="1" ht="12.75" customHeight="1" x14ac:dyDescent="0.2">
      <c r="A151" s="58" t="s">
        <v>2241</v>
      </c>
      <c r="B151" s="53" t="s">
        <v>2242</v>
      </c>
      <c r="C151" s="59" t="s">
        <v>2241</v>
      </c>
      <c r="D151" s="272">
        <v>0</v>
      </c>
      <c r="E151" s="272">
        <v>0</v>
      </c>
      <c r="F151" s="60" t="str">
        <f t="shared" si="4"/>
        <v>-</v>
      </c>
      <c r="G151" s="54"/>
      <c r="H151" s="54"/>
      <c r="I151" s="54"/>
      <c r="J151" s="54"/>
      <c r="K151" s="54"/>
      <c r="L151" s="54"/>
      <c r="M151" s="54"/>
      <c r="N151" s="54"/>
      <c r="O151" s="54"/>
      <c r="P151" s="54"/>
      <c r="Q151" s="54"/>
      <c r="R151" s="54"/>
      <c r="S151" s="54"/>
      <c r="T151" s="54"/>
      <c r="U151" s="54"/>
      <c r="V151" s="54"/>
      <c r="W151" s="54"/>
      <c r="X151" s="54"/>
    </row>
    <row r="152" spans="1:24" customFormat="1" ht="12.75" customHeight="1" x14ac:dyDescent="0.2">
      <c r="A152" s="58" t="s">
        <v>2243</v>
      </c>
      <c r="B152" s="53" t="s">
        <v>2244</v>
      </c>
      <c r="C152" s="59" t="s">
        <v>2243</v>
      </c>
      <c r="D152" s="272">
        <v>0</v>
      </c>
      <c r="E152" s="272">
        <v>0</v>
      </c>
      <c r="F152" s="60" t="str">
        <f t="shared" si="4"/>
        <v>-</v>
      </c>
      <c r="G152" s="54"/>
      <c r="H152" s="54"/>
      <c r="I152" s="54"/>
      <c r="J152" s="54"/>
      <c r="K152" s="54"/>
      <c r="L152" s="54"/>
      <c r="M152" s="54"/>
      <c r="N152" s="54"/>
      <c r="O152" s="54"/>
      <c r="P152" s="54"/>
      <c r="Q152" s="54"/>
      <c r="R152" s="54"/>
      <c r="S152" s="54"/>
      <c r="T152" s="54"/>
      <c r="U152" s="54"/>
      <c r="V152" s="54"/>
      <c r="W152" s="54"/>
      <c r="X152" s="54"/>
    </row>
    <row r="153" spans="1:24" customFormat="1" ht="12.75" customHeight="1" x14ac:dyDescent="0.2">
      <c r="A153" s="58" t="s">
        <v>2245</v>
      </c>
      <c r="B153" s="53" t="s">
        <v>2246</v>
      </c>
      <c r="C153" s="59" t="s">
        <v>2245</v>
      </c>
      <c r="D153" s="272">
        <v>0</v>
      </c>
      <c r="E153" s="272">
        <v>0</v>
      </c>
      <c r="F153" s="60" t="str">
        <f t="shared" si="4"/>
        <v>-</v>
      </c>
      <c r="G153" s="54"/>
      <c r="H153" s="54"/>
      <c r="I153" s="54"/>
      <c r="J153" s="54"/>
      <c r="K153" s="54"/>
      <c r="L153" s="54"/>
      <c r="M153" s="54"/>
      <c r="N153" s="54"/>
      <c r="O153" s="54"/>
      <c r="P153" s="54"/>
      <c r="Q153" s="54"/>
      <c r="R153" s="54"/>
      <c r="S153" s="54"/>
      <c r="T153" s="54"/>
      <c r="U153" s="54"/>
      <c r="V153" s="54"/>
      <c r="W153" s="54"/>
      <c r="X153" s="54"/>
    </row>
    <row r="154" spans="1:24" customFormat="1" ht="12.75" customHeight="1" x14ac:dyDescent="0.2">
      <c r="A154" s="58" t="s">
        <v>2247</v>
      </c>
      <c r="B154" s="53" t="s">
        <v>2248</v>
      </c>
      <c r="C154" s="59" t="s">
        <v>2247</v>
      </c>
      <c r="D154" s="272">
        <v>0</v>
      </c>
      <c r="E154" s="272">
        <v>0</v>
      </c>
      <c r="F154" s="60" t="str">
        <f t="shared" si="4"/>
        <v>-</v>
      </c>
      <c r="G154" s="54"/>
      <c r="H154" s="54"/>
      <c r="I154" s="54"/>
      <c r="J154" s="54"/>
      <c r="K154" s="54"/>
      <c r="L154" s="54"/>
      <c r="M154" s="54"/>
      <c r="N154" s="54"/>
      <c r="O154" s="54"/>
      <c r="P154" s="54"/>
      <c r="Q154" s="54"/>
      <c r="R154" s="54"/>
      <c r="S154" s="54"/>
      <c r="T154" s="54"/>
      <c r="U154" s="54"/>
      <c r="V154" s="54"/>
      <c r="W154" s="54"/>
      <c r="X154" s="54"/>
    </row>
    <row r="155" spans="1:24" customFormat="1" ht="24" customHeight="1" x14ac:dyDescent="0.2">
      <c r="A155" s="58" t="s">
        <v>2249</v>
      </c>
      <c r="B155" s="53" t="s">
        <v>2250</v>
      </c>
      <c r="C155" s="59" t="s">
        <v>2249</v>
      </c>
      <c r="D155" s="272">
        <v>0</v>
      </c>
      <c r="E155" s="272">
        <v>0</v>
      </c>
      <c r="F155" s="60" t="str">
        <f t="shared" si="4"/>
        <v>-</v>
      </c>
      <c r="G155" s="54"/>
      <c r="H155" s="54"/>
      <c r="I155" s="54"/>
      <c r="J155" s="54"/>
      <c r="K155" s="54"/>
      <c r="L155" s="54"/>
      <c r="M155" s="54"/>
      <c r="N155" s="54"/>
      <c r="O155" s="54"/>
      <c r="P155" s="54"/>
      <c r="Q155" s="54"/>
      <c r="R155" s="54"/>
      <c r="S155" s="54"/>
      <c r="T155" s="54"/>
      <c r="U155" s="54"/>
      <c r="V155" s="54"/>
      <c r="W155" s="54"/>
      <c r="X155" s="54"/>
    </row>
    <row r="156" spans="1:24" customFormat="1" ht="24" customHeight="1" x14ac:dyDescent="0.2">
      <c r="A156" s="58" t="s">
        <v>2251</v>
      </c>
      <c r="B156" s="53" t="s">
        <v>2252</v>
      </c>
      <c r="C156" s="59" t="s">
        <v>2251</v>
      </c>
      <c r="D156" s="272">
        <v>0</v>
      </c>
      <c r="E156" s="272">
        <v>0</v>
      </c>
      <c r="F156" s="60" t="str">
        <f t="shared" si="4"/>
        <v>-</v>
      </c>
      <c r="G156" s="54"/>
      <c r="H156" s="54"/>
      <c r="I156" s="54"/>
      <c r="J156" s="54"/>
      <c r="K156" s="54"/>
      <c r="L156" s="54"/>
      <c r="M156" s="54"/>
      <c r="N156" s="54"/>
      <c r="O156" s="54"/>
      <c r="P156" s="54"/>
      <c r="Q156" s="54"/>
      <c r="R156" s="54"/>
      <c r="S156" s="54"/>
      <c r="T156" s="54"/>
      <c r="U156" s="54"/>
      <c r="V156" s="54"/>
      <c r="W156" s="54"/>
      <c r="X156" s="54"/>
    </row>
    <row r="157" spans="1:24" customFormat="1" ht="24" customHeight="1" x14ac:dyDescent="0.2">
      <c r="A157" s="58" t="s">
        <v>2253</v>
      </c>
      <c r="B157" s="53" t="s">
        <v>2254</v>
      </c>
      <c r="C157" s="59" t="s">
        <v>2253</v>
      </c>
      <c r="D157" s="272">
        <v>0</v>
      </c>
      <c r="E157" s="272">
        <v>0</v>
      </c>
      <c r="F157" s="60" t="str">
        <f t="shared" si="4"/>
        <v>-</v>
      </c>
      <c r="G157" s="54"/>
      <c r="H157" s="54"/>
      <c r="I157" s="54"/>
      <c r="J157" s="54"/>
      <c r="K157" s="54"/>
      <c r="L157" s="54"/>
      <c r="M157" s="54"/>
      <c r="N157" s="54"/>
      <c r="O157" s="54"/>
      <c r="P157" s="54"/>
      <c r="Q157" s="54"/>
      <c r="R157" s="54"/>
      <c r="S157" s="54"/>
      <c r="T157" s="54"/>
      <c r="U157" s="54"/>
      <c r="V157" s="54"/>
      <c r="W157" s="54"/>
      <c r="X157" s="54"/>
    </row>
    <row r="158" spans="1:24" customFormat="1" ht="12.75" customHeight="1" x14ac:dyDescent="0.2">
      <c r="A158" s="58" t="s">
        <v>2255</v>
      </c>
      <c r="B158" s="53" t="s">
        <v>2256</v>
      </c>
      <c r="C158" s="59" t="s">
        <v>2255</v>
      </c>
      <c r="D158" s="272">
        <v>506.01</v>
      </c>
      <c r="E158" s="272">
        <v>499.92</v>
      </c>
      <c r="F158" s="60">
        <f t="shared" si="4"/>
        <v>98.796466472994609</v>
      </c>
      <c r="G158" s="54"/>
      <c r="H158" s="54"/>
      <c r="I158" s="54"/>
      <c r="J158" s="54"/>
      <c r="K158" s="54"/>
      <c r="L158" s="54"/>
      <c r="M158" s="54"/>
      <c r="N158" s="54"/>
      <c r="O158" s="54"/>
      <c r="P158" s="54"/>
      <c r="Q158" s="54"/>
      <c r="R158" s="54"/>
      <c r="S158" s="54"/>
      <c r="T158" s="54"/>
      <c r="U158" s="54"/>
      <c r="V158" s="54"/>
      <c r="W158" s="54"/>
      <c r="X158" s="54"/>
    </row>
    <row r="159" spans="1:24" customFormat="1" ht="24" customHeight="1" x14ac:dyDescent="0.2">
      <c r="A159" s="58" t="s">
        <v>2257</v>
      </c>
      <c r="B159" s="122" t="s">
        <v>2258</v>
      </c>
      <c r="C159" s="59" t="s">
        <v>2257</v>
      </c>
      <c r="D159" s="272">
        <v>9521.83</v>
      </c>
      <c r="E159" s="272">
        <v>10745.83</v>
      </c>
      <c r="F159" s="60">
        <f t="shared" si="4"/>
        <v>112.85467184354268</v>
      </c>
      <c r="G159" s="54"/>
      <c r="H159" s="54"/>
      <c r="I159" s="54"/>
      <c r="J159" s="54"/>
      <c r="K159" s="54"/>
      <c r="L159" s="54"/>
      <c r="M159" s="54"/>
      <c r="N159" s="54"/>
      <c r="O159" s="54"/>
      <c r="P159" s="54"/>
      <c r="Q159" s="54"/>
      <c r="R159" s="54"/>
      <c r="S159" s="54"/>
      <c r="T159" s="54"/>
      <c r="U159" s="54"/>
      <c r="V159" s="54"/>
      <c r="W159" s="54"/>
      <c r="X159" s="54"/>
    </row>
    <row r="160" spans="1:24" customFormat="1" ht="24" customHeight="1" x14ac:dyDescent="0.2">
      <c r="A160" s="58" t="s">
        <v>2259</v>
      </c>
      <c r="B160" s="53" t="s">
        <v>2260</v>
      </c>
      <c r="C160" s="59" t="s">
        <v>2259</v>
      </c>
      <c r="D160" s="272">
        <v>0</v>
      </c>
      <c r="E160" s="272">
        <v>0</v>
      </c>
      <c r="F160" s="60" t="str">
        <f t="shared" si="4"/>
        <v>-</v>
      </c>
      <c r="G160" s="54"/>
      <c r="H160" s="54"/>
      <c r="I160" s="54"/>
      <c r="J160" s="54"/>
      <c r="K160" s="54"/>
      <c r="L160" s="54"/>
      <c r="M160" s="54"/>
      <c r="N160" s="54"/>
      <c r="O160" s="54"/>
      <c r="P160" s="54"/>
      <c r="Q160" s="54"/>
      <c r="R160" s="54"/>
      <c r="S160" s="54"/>
      <c r="T160" s="54"/>
      <c r="U160" s="54"/>
      <c r="V160" s="54"/>
      <c r="W160" s="54"/>
      <c r="X160" s="54"/>
    </row>
    <row r="161" spans="1:24" customFormat="1" ht="24" customHeight="1" x14ac:dyDescent="0.2">
      <c r="A161" s="58" t="s">
        <v>2261</v>
      </c>
      <c r="B161" s="53" t="s">
        <v>2262</v>
      </c>
      <c r="C161" s="59" t="s">
        <v>2261</v>
      </c>
      <c r="D161" s="272">
        <v>0</v>
      </c>
      <c r="E161" s="272">
        <v>0</v>
      </c>
      <c r="F161" s="60" t="str">
        <f t="shared" si="4"/>
        <v>-</v>
      </c>
      <c r="G161" s="54"/>
      <c r="H161" s="54"/>
      <c r="I161" s="54"/>
      <c r="J161" s="54"/>
      <c r="K161" s="54"/>
      <c r="L161" s="54"/>
      <c r="M161" s="54"/>
      <c r="N161" s="54"/>
      <c r="O161" s="54"/>
      <c r="P161" s="54"/>
      <c r="Q161" s="54"/>
      <c r="R161" s="54"/>
      <c r="S161" s="54"/>
      <c r="T161" s="54"/>
      <c r="U161" s="54"/>
      <c r="V161" s="54"/>
      <c r="W161" s="54"/>
      <c r="X161" s="54"/>
    </row>
    <row r="162" spans="1:24" customFormat="1" ht="12.75" customHeight="1" x14ac:dyDescent="0.2">
      <c r="A162" s="58" t="s">
        <v>2263</v>
      </c>
      <c r="B162" s="53" t="s">
        <v>2264</v>
      </c>
      <c r="C162" s="59" t="s">
        <v>2263</v>
      </c>
      <c r="D162" s="272">
        <v>0</v>
      </c>
      <c r="E162" s="272">
        <v>0</v>
      </c>
      <c r="F162" s="60" t="str">
        <f t="shared" si="4"/>
        <v>-</v>
      </c>
      <c r="G162" s="54"/>
      <c r="H162" s="54"/>
      <c r="I162" s="54"/>
      <c r="J162" s="54"/>
      <c r="K162" s="54"/>
      <c r="L162" s="54"/>
      <c r="M162" s="54"/>
      <c r="N162" s="54"/>
      <c r="O162" s="54"/>
      <c r="P162" s="54"/>
      <c r="Q162" s="54"/>
      <c r="R162" s="54"/>
      <c r="S162" s="54"/>
      <c r="T162" s="54"/>
      <c r="U162" s="54"/>
      <c r="V162" s="54"/>
      <c r="W162" s="54"/>
      <c r="X162" s="54"/>
    </row>
    <row r="163" spans="1:24" customFormat="1" ht="12.75" customHeight="1" x14ac:dyDescent="0.2">
      <c r="A163" s="58" t="s">
        <v>2265</v>
      </c>
      <c r="B163" s="53" t="s">
        <v>2266</v>
      </c>
      <c r="C163" s="59" t="s">
        <v>2265</v>
      </c>
      <c r="D163" s="272">
        <v>14781.9</v>
      </c>
      <c r="E163" s="272">
        <v>8749.35</v>
      </c>
      <c r="F163" s="60">
        <f t="shared" si="4"/>
        <v>59.189617031640054</v>
      </c>
      <c r="G163" s="54"/>
      <c r="H163" s="54"/>
      <c r="I163" s="54"/>
      <c r="J163" s="54"/>
      <c r="K163" s="54"/>
      <c r="L163" s="54"/>
      <c r="M163" s="54"/>
      <c r="N163" s="54"/>
      <c r="O163" s="54"/>
      <c r="P163" s="54"/>
      <c r="Q163" s="54"/>
      <c r="R163" s="54"/>
      <c r="S163" s="54"/>
      <c r="T163" s="54"/>
      <c r="U163" s="54"/>
      <c r="V163" s="54"/>
      <c r="W163" s="54"/>
      <c r="X163" s="54"/>
    </row>
    <row r="164" spans="1:24" customFormat="1" ht="12.75" customHeight="1" x14ac:dyDescent="0.2">
      <c r="A164" s="58" t="s">
        <v>2267</v>
      </c>
      <c r="B164" s="53" t="s">
        <v>2268</v>
      </c>
      <c r="C164" s="59" t="s">
        <v>2267</v>
      </c>
      <c r="D164" s="271">
        <f>SUM(D165:D168)-D169</f>
        <v>3450.8</v>
      </c>
      <c r="E164" s="271">
        <f>SUM(E165:E168)-E169</f>
        <v>1725.4</v>
      </c>
      <c r="F164" s="60">
        <f t="shared" si="4"/>
        <v>50</v>
      </c>
      <c r="G164" s="54"/>
      <c r="H164" s="54"/>
      <c r="I164" s="54"/>
      <c r="J164" s="54"/>
      <c r="K164" s="54"/>
      <c r="L164" s="54"/>
      <c r="M164" s="54"/>
      <c r="N164" s="54"/>
      <c r="O164" s="54"/>
      <c r="P164" s="54"/>
      <c r="Q164" s="54"/>
      <c r="R164" s="54"/>
      <c r="S164" s="54"/>
      <c r="T164" s="54"/>
      <c r="U164" s="54"/>
      <c r="V164" s="54"/>
      <c r="W164" s="54"/>
      <c r="X164" s="54"/>
    </row>
    <row r="165" spans="1:24" customFormat="1" ht="12.75" customHeight="1" x14ac:dyDescent="0.2">
      <c r="A165" s="58" t="s">
        <v>2269</v>
      </c>
      <c r="B165" s="53" t="s">
        <v>2270</v>
      </c>
      <c r="C165" s="59" t="s">
        <v>2269</v>
      </c>
      <c r="D165" s="272">
        <v>3450.8</v>
      </c>
      <c r="E165" s="272">
        <v>1725.4</v>
      </c>
      <c r="F165" s="60">
        <f t="shared" si="4"/>
        <v>50</v>
      </c>
      <c r="G165" s="54"/>
      <c r="H165" s="54"/>
      <c r="I165" s="54"/>
      <c r="J165" s="54"/>
      <c r="K165" s="54"/>
      <c r="L165" s="54"/>
      <c r="M165" s="54"/>
      <c r="N165" s="54"/>
      <c r="O165" s="54"/>
      <c r="P165" s="54"/>
      <c r="Q165" s="54"/>
      <c r="R165" s="54"/>
      <c r="S165" s="54"/>
      <c r="T165" s="54"/>
      <c r="U165" s="54"/>
      <c r="V165" s="54"/>
      <c r="W165" s="54"/>
      <c r="X165" s="54"/>
    </row>
    <row r="166" spans="1:24" customFormat="1" ht="12.75" customHeight="1" x14ac:dyDescent="0.2">
      <c r="A166" s="58" t="s">
        <v>2271</v>
      </c>
      <c r="B166" s="53" t="s">
        <v>2272</v>
      </c>
      <c r="C166" s="59" t="s">
        <v>2271</v>
      </c>
      <c r="D166" s="272">
        <v>0</v>
      </c>
      <c r="E166" s="272">
        <v>0</v>
      </c>
      <c r="F166" s="60" t="str">
        <f t="shared" ref="F166:F173" si="5">IF(D166&gt;0,IF(E166/D166&gt;=100,"&gt;&gt;100",E166/D166*100),"-")</f>
        <v>-</v>
      </c>
      <c r="G166" s="54"/>
      <c r="H166" s="54"/>
      <c r="I166" s="54"/>
      <c r="J166" s="54"/>
      <c r="K166" s="54"/>
      <c r="L166" s="54"/>
      <c r="M166" s="54"/>
      <c r="N166" s="54"/>
      <c r="O166" s="54"/>
      <c r="P166" s="54"/>
      <c r="Q166" s="54"/>
      <c r="R166" s="54"/>
      <c r="S166" s="54"/>
      <c r="T166" s="54"/>
      <c r="U166" s="54"/>
      <c r="V166" s="54"/>
      <c r="W166" s="54"/>
      <c r="X166" s="54"/>
    </row>
    <row r="167" spans="1:24" customFormat="1" ht="12.75" customHeight="1" x14ac:dyDescent="0.2">
      <c r="A167" s="58" t="s">
        <v>2273</v>
      </c>
      <c r="B167" s="53" t="s">
        <v>2274</v>
      </c>
      <c r="C167" s="59" t="s">
        <v>2273</v>
      </c>
      <c r="D167" s="272">
        <v>0</v>
      </c>
      <c r="E167" s="272">
        <v>0</v>
      </c>
      <c r="F167" s="60" t="str">
        <f t="shared" si="5"/>
        <v>-</v>
      </c>
      <c r="G167" s="54"/>
      <c r="H167" s="54"/>
      <c r="I167" s="54"/>
      <c r="J167" s="54"/>
      <c r="K167" s="54"/>
      <c r="L167" s="54"/>
      <c r="M167" s="54"/>
      <c r="N167" s="54"/>
      <c r="O167" s="54"/>
      <c r="P167" s="54"/>
      <c r="Q167" s="54"/>
      <c r="R167" s="54"/>
      <c r="S167" s="54"/>
      <c r="T167" s="54"/>
      <c r="U167" s="54"/>
      <c r="V167" s="54"/>
      <c r="W167" s="54"/>
      <c r="X167" s="54"/>
    </row>
    <row r="168" spans="1:24" customFormat="1" ht="12.75" customHeight="1" x14ac:dyDescent="0.2">
      <c r="A168" s="58" t="s">
        <v>2275</v>
      </c>
      <c r="B168" s="53" t="s">
        <v>2276</v>
      </c>
      <c r="C168" s="59" t="s">
        <v>2275</v>
      </c>
      <c r="D168" s="272">
        <v>0</v>
      </c>
      <c r="E168" s="272">
        <v>0</v>
      </c>
      <c r="F168" s="60" t="str">
        <f t="shared" si="5"/>
        <v>-</v>
      </c>
      <c r="G168" s="54"/>
      <c r="H168" s="54"/>
      <c r="I168" s="54"/>
      <c r="J168" s="54"/>
      <c r="K168" s="54"/>
      <c r="L168" s="54"/>
      <c r="M168" s="54"/>
      <c r="N168" s="54"/>
      <c r="O168" s="54"/>
      <c r="P168" s="54"/>
      <c r="Q168" s="54"/>
      <c r="R168" s="54"/>
      <c r="S168" s="54"/>
      <c r="T168" s="54"/>
      <c r="U168" s="54"/>
      <c r="V168" s="54"/>
      <c r="W168" s="54"/>
      <c r="X168" s="54"/>
    </row>
    <row r="169" spans="1:24" customFormat="1" ht="12.75" customHeight="1" x14ac:dyDescent="0.2">
      <c r="A169" s="58" t="s">
        <v>2277</v>
      </c>
      <c r="B169" s="53" t="s">
        <v>2278</v>
      </c>
      <c r="C169" s="59" t="s">
        <v>2277</v>
      </c>
      <c r="D169" s="272">
        <v>0</v>
      </c>
      <c r="E169" s="272">
        <v>0</v>
      </c>
      <c r="F169" s="60" t="str">
        <f t="shared" si="5"/>
        <v>-</v>
      </c>
      <c r="G169" s="54"/>
      <c r="H169" s="54"/>
      <c r="I169" s="54"/>
      <c r="J169" s="54"/>
      <c r="K169" s="54"/>
      <c r="L169" s="54"/>
      <c r="M169" s="54"/>
      <c r="N169" s="54"/>
      <c r="O169" s="54"/>
      <c r="P169" s="54"/>
      <c r="Q169" s="54"/>
      <c r="R169" s="54"/>
      <c r="S169" s="54"/>
      <c r="T169" s="54"/>
      <c r="U169" s="54"/>
      <c r="V169" s="54"/>
      <c r="W169" s="54"/>
      <c r="X169" s="54"/>
    </row>
    <row r="170" spans="1:24" customFormat="1" ht="12.75" customHeight="1" x14ac:dyDescent="0.2">
      <c r="A170" s="58" t="s">
        <v>1291</v>
      </c>
      <c r="B170" s="53" t="s">
        <v>2279</v>
      </c>
      <c r="C170" s="59" t="s">
        <v>1291</v>
      </c>
      <c r="D170" s="271">
        <f>SUM(D171:D173)</f>
        <v>0</v>
      </c>
      <c r="E170" s="271">
        <f>SUM(E171:E173)</f>
        <v>0</v>
      </c>
      <c r="F170" s="60" t="str">
        <f t="shared" si="5"/>
        <v>-</v>
      </c>
      <c r="G170" s="54"/>
      <c r="H170" s="54"/>
      <c r="I170" s="54"/>
      <c r="J170" s="54"/>
      <c r="K170" s="54"/>
      <c r="L170" s="54"/>
      <c r="M170" s="54"/>
      <c r="N170" s="54"/>
      <c r="O170" s="54"/>
      <c r="P170" s="54"/>
      <c r="Q170" s="54"/>
      <c r="R170" s="54"/>
      <c r="S170" s="54"/>
      <c r="T170" s="54"/>
      <c r="U170" s="54"/>
      <c r="V170" s="54"/>
      <c r="W170" s="54"/>
      <c r="X170" s="54"/>
    </row>
    <row r="171" spans="1:24" customFormat="1" ht="12.75" customHeight="1" x14ac:dyDescent="0.2">
      <c r="A171" s="58" t="s">
        <v>2280</v>
      </c>
      <c r="B171" s="53" t="s">
        <v>2281</v>
      </c>
      <c r="C171" s="59" t="s">
        <v>2280</v>
      </c>
      <c r="D171" s="272">
        <v>0</v>
      </c>
      <c r="E171" s="272">
        <v>0</v>
      </c>
      <c r="F171" s="60" t="str">
        <f t="shared" si="5"/>
        <v>-</v>
      </c>
      <c r="G171" s="54"/>
      <c r="H171" s="54"/>
      <c r="I171" s="54"/>
      <c r="J171" s="54"/>
      <c r="K171" s="54"/>
      <c r="L171" s="54"/>
      <c r="M171" s="54"/>
      <c r="N171" s="54"/>
      <c r="O171" s="54"/>
      <c r="P171" s="54"/>
      <c r="Q171" s="54"/>
      <c r="R171" s="54"/>
      <c r="S171" s="54"/>
      <c r="T171" s="54"/>
      <c r="U171" s="54"/>
      <c r="V171" s="54"/>
      <c r="W171" s="54"/>
      <c r="X171" s="54"/>
    </row>
    <row r="172" spans="1:24" customFormat="1" ht="12.75" customHeight="1" x14ac:dyDescent="0.2">
      <c r="A172" s="58" t="s">
        <v>2282</v>
      </c>
      <c r="B172" s="53" t="s">
        <v>2283</v>
      </c>
      <c r="C172" s="59" t="s">
        <v>2282</v>
      </c>
      <c r="D172" s="272">
        <v>0</v>
      </c>
      <c r="E172" s="272">
        <v>0</v>
      </c>
      <c r="F172" s="60" t="str">
        <f t="shared" si="5"/>
        <v>-</v>
      </c>
      <c r="G172" s="54"/>
      <c r="H172" s="54"/>
      <c r="I172" s="54"/>
      <c r="J172" s="54"/>
      <c r="K172" s="54"/>
      <c r="L172" s="54"/>
      <c r="M172" s="54"/>
      <c r="N172" s="54"/>
      <c r="O172" s="54"/>
      <c r="P172" s="54"/>
      <c r="Q172" s="54"/>
      <c r="R172" s="54"/>
      <c r="S172" s="54"/>
      <c r="T172" s="54"/>
      <c r="U172" s="54"/>
      <c r="V172" s="54"/>
      <c r="W172" s="54"/>
      <c r="X172" s="54"/>
    </row>
    <row r="173" spans="1:24" customFormat="1" ht="12.75" customHeight="1" x14ac:dyDescent="0.2">
      <c r="A173" s="58" t="s">
        <v>2284</v>
      </c>
      <c r="B173" s="53" t="s">
        <v>2285</v>
      </c>
      <c r="C173" s="59" t="s">
        <v>2284</v>
      </c>
      <c r="D173" s="272">
        <v>0</v>
      </c>
      <c r="E173" s="272">
        <v>0</v>
      </c>
      <c r="F173" s="60" t="str">
        <f t="shared" si="5"/>
        <v>-</v>
      </c>
      <c r="G173" s="54"/>
      <c r="H173" s="54"/>
      <c r="I173" s="54"/>
      <c r="J173" s="54"/>
      <c r="K173" s="54"/>
      <c r="L173" s="54"/>
      <c r="M173" s="54"/>
      <c r="N173" s="54"/>
      <c r="O173" s="54"/>
      <c r="P173" s="54"/>
      <c r="Q173" s="54"/>
      <c r="R173" s="54"/>
      <c r="S173" s="54"/>
      <c r="T173" s="54"/>
      <c r="U173" s="54"/>
      <c r="V173" s="54"/>
      <c r="W173" s="54"/>
      <c r="X173" s="54"/>
    </row>
    <row r="174" spans="1:24" s="1" customFormat="1" ht="20.100000000000001" customHeight="1" x14ac:dyDescent="0.2">
      <c r="A174" s="327" t="s">
        <v>2286</v>
      </c>
      <c r="B174" s="332"/>
      <c r="C174" s="192"/>
      <c r="D174" s="193"/>
      <c r="E174" s="193"/>
      <c r="F174" s="194"/>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8"/>
      <c r="B175" s="53" t="s">
        <v>2287</v>
      </c>
      <c r="C175" s="59" t="s">
        <v>2288</v>
      </c>
      <c r="D175" s="271">
        <f>D176+D237</f>
        <v>3358729.92</v>
      </c>
      <c r="E175" s="271">
        <f>E176+E237</f>
        <v>3981211.9099999997</v>
      </c>
      <c r="F175" s="60">
        <f t="shared" ref="F175:F206" si="6">IF(D175&gt;0,IF(E175/D175&gt;=100,"&gt;&gt;100",E175/D175*100),"-")</f>
        <v>118.53325527287409</v>
      </c>
      <c r="G175" s="54"/>
      <c r="H175" s="54"/>
      <c r="I175" s="54"/>
      <c r="J175" s="54"/>
      <c r="K175" s="54"/>
      <c r="L175" s="54"/>
      <c r="M175" s="54"/>
      <c r="N175" s="54"/>
      <c r="O175" s="54"/>
      <c r="P175" s="54"/>
      <c r="Q175" s="54"/>
      <c r="R175" s="54"/>
      <c r="S175" s="54"/>
      <c r="T175" s="54"/>
      <c r="U175" s="54"/>
      <c r="V175" s="54"/>
      <c r="W175" s="54"/>
      <c r="X175" s="54"/>
    </row>
    <row r="176" spans="1:24" customFormat="1" ht="12.75" customHeight="1" x14ac:dyDescent="0.2">
      <c r="A176" s="58" t="s">
        <v>2289</v>
      </c>
      <c r="B176" s="53" t="s">
        <v>2290</v>
      </c>
      <c r="C176" s="59" t="s">
        <v>2289</v>
      </c>
      <c r="D176" s="271">
        <f>D177+D189+D190+D206+D234</f>
        <v>14059.82</v>
      </c>
      <c r="E176" s="271">
        <f>E177+E189+E190+E206+E234</f>
        <v>407423.4</v>
      </c>
      <c r="F176" s="60">
        <f t="shared" si="6"/>
        <v>2897.785320153459</v>
      </c>
      <c r="G176" s="54"/>
      <c r="H176" s="54"/>
      <c r="I176" s="54"/>
      <c r="J176" s="54"/>
      <c r="K176" s="54"/>
      <c r="L176" s="54"/>
      <c r="M176" s="54"/>
      <c r="N176" s="54"/>
      <c r="O176" s="54"/>
      <c r="P176" s="54"/>
      <c r="Q176" s="54"/>
      <c r="R176" s="54"/>
      <c r="S176" s="54"/>
      <c r="T176" s="54"/>
      <c r="U176" s="54"/>
      <c r="V176" s="54"/>
      <c r="W176" s="54"/>
      <c r="X176" s="54"/>
    </row>
    <row r="177" spans="1:24" customFormat="1" ht="12.75" customHeight="1" x14ac:dyDescent="0.2">
      <c r="A177" s="58" t="s">
        <v>2291</v>
      </c>
      <c r="B177" s="53" t="s">
        <v>2292</v>
      </c>
      <c r="C177" s="59" t="s">
        <v>2291</v>
      </c>
      <c r="D177" s="271">
        <f>SUM(D178:D180)+SUM(D184:D188)</f>
        <v>5638</v>
      </c>
      <c r="E177" s="271">
        <f>SUM(E178:E180)+SUM(E184:E188)</f>
        <v>5690.3799999999992</v>
      </c>
      <c r="F177" s="60">
        <f t="shared" si="6"/>
        <v>100.92905285562254</v>
      </c>
      <c r="G177" s="54"/>
      <c r="H177" s="54"/>
      <c r="I177" s="54"/>
      <c r="J177" s="54"/>
      <c r="K177" s="54"/>
      <c r="L177" s="54"/>
      <c r="M177" s="54"/>
      <c r="N177" s="54"/>
      <c r="O177" s="54"/>
      <c r="P177" s="54"/>
      <c r="Q177" s="54"/>
      <c r="R177" s="54"/>
      <c r="S177" s="54"/>
      <c r="T177" s="54"/>
      <c r="U177" s="54"/>
      <c r="V177" s="54"/>
      <c r="W177" s="54"/>
      <c r="X177" s="54"/>
    </row>
    <row r="178" spans="1:24" customFormat="1" ht="12.75" customHeight="1" x14ac:dyDescent="0.2">
      <c r="A178" s="58" t="s">
        <v>2293</v>
      </c>
      <c r="B178" s="53" t="s">
        <v>2294</v>
      </c>
      <c r="C178" s="59" t="s">
        <v>2293</v>
      </c>
      <c r="D178" s="272">
        <v>0</v>
      </c>
      <c r="E178" s="272">
        <v>0</v>
      </c>
      <c r="F178" s="60" t="str">
        <f t="shared" si="6"/>
        <v>-</v>
      </c>
      <c r="G178" s="54"/>
      <c r="H178" s="54"/>
      <c r="I178" s="54"/>
      <c r="J178" s="54"/>
      <c r="K178" s="54"/>
      <c r="L178" s="54"/>
      <c r="M178" s="54"/>
      <c r="N178" s="54"/>
      <c r="O178" s="54"/>
      <c r="P178" s="54"/>
      <c r="Q178" s="54"/>
      <c r="R178" s="54"/>
      <c r="S178" s="54"/>
      <c r="T178" s="54"/>
      <c r="U178" s="54"/>
      <c r="V178" s="54"/>
      <c r="W178" s="54"/>
      <c r="X178" s="54"/>
    </row>
    <row r="179" spans="1:24" customFormat="1" ht="12.75" customHeight="1" x14ac:dyDescent="0.2">
      <c r="A179" s="58" t="s">
        <v>2295</v>
      </c>
      <c r="B179" s="53" t="s">
        <v>2296</v>
      </c>
      <c r="C179" s="59" t="s">
        <v>2295</v>
      </c>
      <c r="D179" s="272">
        <v>3822.11</v>
      </c>
      <c r="E179" s="272">
        <v>4744.7299999999996</v>
      </c>
      <c r="F179" s="60">
        <f t="shared" si="6"/>
        <v>124.13902268642187</v>
      </c>
      <c r="G179" s="54"/>
      <c r="H179" s="54"/>
      <c r="I179" s="54"/>
      <c r="J179" s="54"/>
      <c r="K179" s="54"/>
      <c r="L179" s="54"/>
      <c r="M179" s="54"/>
      <c r="N179" s="54"/>
      <c r="O179" s="54"/>
      <c r="P179" s="54"/>
      <c r="Q179" s="54"/>
      <c r="R179" s="54"/>
      <c r="S179" s="54"/>
      <c r="T179" s="54"/>
      <c r="U179" s="54"/>
      <c r="V179" s="54"/>
      <c r="W179" s="54"/>
      <c r="X179" s="54"/>
    </row>
    <row r="180" spans="1:24" customFormat="1" ht="12.75" customHeight="1" x14ac:dyDescent="0.2">
      <c r="A180" s="58" t="s">
        <v>2297</v>
      </c>
      <c r="B180" s="53" t="s">
        <v>2298</v>
      </c>
      <c r="C180" s="59" t="s">
        <v>2297</v>
      </c>
      <c r="D180" s="271">
        <f>SUM(D181:D183)</f>
        <v>0</v>
      </c>
      <c r="E180" s="271">
        <f>SUM(E181:E183)</f>
        <v>0</v>
      </c>
      <c r="F180" s="60" t="str">
        <f t="shared" si="6"/>
        <v>-</v>
      </c>
      <c r="G180" s="54"/>
      <c r="H180" s="54"/>
      <c r="I180" s="54"/>
      <c r="J180" s="54"/>
      <c r="K180" s="54"/>
      <c r="L180" s="54"/>
      <c r="M180" s="54"/>
      <c r="N180" s="54"/>
      <c r="O180" s="54"/>
      <c r="P180" s="54"/>
      <c r="Q180" s="54"/>
      <c r="R180" s="54"/>
      <c r="S180" s="54"/>
      <c r="T180" s="54"/>
      <c r="U180" s="54"/>
      <c r="V180" s="54"/>
      <c r="W180" s="54"/>
      <c r="X180" s="54"/>
    </row>
    <row r="181" spans="1:24" customFormat="1" ht="12.75" customHeight="1" x14ac:dyDescent="0.2">
      <c r="A181" s="58" t="s">
        <v>2299</v>
      </c>
      <c r="B181" s="53" t="s">
        <v>2300</v>
      </c>
      <c r="C181" s="59" t="s">
        <v>2299</v>
      </c>
      <c r="D181" s="272">
        <v>0</v>
      </c>
      <c r="E181" s="272">
        <v>0</v>
      </c>
      <c r="F181" s="60" t="str">
        <f t="shared" si="6"/>
        <v>-</v>
      </c>
      <c r="G181" s="54"/>
      <c r="H181" s="54"/>
      <c r="I181" s="54"/>
      <c r="J181" s="54"/>
      <c r="K181" s="54"/>
      <c r="L181" s="54"/>
      <c r="M181" s="54"/>
      <c r="N181" s="54"/>
      <c r="O181" s="54"/>
      <c r="P181" s="54"/>
      <c r="Q181" s="54"/>
      <c r="R181" s="54"/>
      <c r="S181" s="54"/>
      <c r="T181" s="54"/>
      <c r="U181" s="54"/>
      <c r="V181" s="54"/>
      <c r="W181" s="54"/>
      <c r="X181" s="54"/>
    </row>
    <row r="182" spans="1:24" customFormat="1" ht="12.75" customHeight="1" x14ac:dyDescent="0.2">
      <c r="A182" s="58" t="s">
        <v>2301</v>
      </c>
      <c r="B182" s="53" t="s">
        <v>2302</v>
      </c>
      <c r="C182" s="59" t="s">
        <v>2301</v>
      </c>
      <c r="D182" s="272">
        <v>0</v>
      </c>
      <c r="E182" s="272">
        <v>0</v>
      </c>
      <c r="F182" s="60" t="str">
        <f t="shared" si="6"/>
        <v>-</v>
      </c>
      <c r="G182" s="54"/>
      <c r="H182" s="54"/>
      <c r="I182" s="54"/>
      <c r="J182" s="54"/>
      <c r="K182" s="54"/>
      <c r="L182" s="54"/>
      <c r="M182" s="54"/>
      <c r="N182" s="54"/>
      <c r="O182" s="54"/>
      <c r="P182" s="54"/>
      <c r="Q182" s="54"/>
      <c r="R182" s="54"/>
      <c r="S182" s="54"/>
      <c r="T182" s="54"/>
      <c r="U182" s="54"/>
      <c r="V182" s="54"/>
      <c r="W182" s="54"/>
      <c r="X182" s="54"/>
    </row>
    <row r="183" spans="1:24" customFormat="1" ht="12.75" customHeight="1" x14ac:dyDescent="0.2">
      <c r="A183" s="58" t="s">
        <v>2303</v>
      </c>
      <c r="B183" s="53" t="s">
        <v>2304</v>
      </c>
      <c r="C183" s="59" t="s">
        <v>2303</v>
      </c>
      <c r="D183" s="272">
        <v>0</v>
      </c>
      <c r="E183" s="272">
        <v>0</v>
      </c>
      <c r="F183" s="60" t="str">
        <f t="shared" si="6"/>
        <v>-</v>
      </c>
      <c r="G183" s="54"/>
      <c r="H183" s="54"/>
      <c r="I183" s="54"/>
      <c r="J183" s="54"/>
      <c r="K183" s="54"/>
      <c r="L183" s="54"/>
      <c r="M183" s="54"/>
      <c r="N183" s="54"/>
      <c r="O183" s="54"/>
      <c r="P183" s="54"/>
      <c r="Q183" s="54"/>
      <c r="R183" s="54"/>
      <c r="S183" s="54"/>
      <c r="T183" s="54"/>
      <c r="U183" s="54"/>
      <c r="V183" s="54"/>
      <c r="W183" s="54"/>
      <c r="X183" s="54"/>
    </row>
    <row r="184" spans="1:24" customFormat="1" ht="12.75" customHeight="1" x14ac:dyDescent="0.2">
      <c r="A184" s="58" t="s">
        <v>2305</v>
      </c>
      <c r="B184" s="53" t="s">
        <v>2306</v>
      </c>
      <c r="C184" s="59" t="s">
        <v>2305</v>
      </c>
      <c r="D184" s="272">
        <v>0</v>
      </c>
      <c r="E184" s="272">
        <v>0</v>
      </c>
      <c r="F184" s="60" t="str">
        <f t="shared" si="6"/>
        <v>-</v>
      </c>
      <c r="G184" s="54"/>
      <c r="H184" s="54"/>
      <c r="I184" s="54"/>
      <c r="J184" s="54"/>
      <c r="K184" s="54"/>
      <c r="L184" s="54"/>
      <c r="M184" s="54"/>
      <c r="N184" s="54"/>
      <c r="O184" s="54"/>
      <c r="P184" s="54"/>
      <c r="Q184" s="54"/>
      <c r="R184" s="54"/>
      <c r="S184" s="54"/>
      <c r="T184" s="54"/>
      <c r="U184" s="54"/>
      <c r="V184" s="54"/>
      <c r="W184" s="54"/>
      <c r="X184" s="54"/>
    </row>
    <row r="185" spans="1:24" customFormat="1" ht="24" customHeight="1" x14ac:dyDescent="0.2">
      <c r="A185" s="58" t="s">
        <v>2307</v>
      </c>
      <c r="B185" s="53" t="s">
        <v>2308</v>
      </c>
      <c r="C185" s="59" t="s">
        <v>2307</v>
      </c>
      <c r="D185" s="272">
        <v>0</v>
      </c>
      <c r="E185" s="272">
        <v>0</v>
      </c>
      <c r="F185" s="60" t="str">
        <f t="shared" si="6"/>
        <v>-</v>
      </c>
      <c r="G185" s="54"/>
      <c r="H185" s="54"/>
      <c r="I185" s="54"/>
      <c r="J185" s="54"/>
      <c r="K185" s="54"/>
      <c r="L185" s="54"/>
      <c r="M185" s="54"/>
      <c r="N185" s="54"/>
      <c r="O185" s="54"/>
      <c r="P185" s="54"/>
      <c r="Q185" s="54"/>
      <c r="R185" s="54"/>
      <c r="S185" s="54"/>
      <c r="T185" s="54"/>
      <c r="U185" s="54"/>
      <c r="V185" s="54"/>
      <c r="W185" s="54"/>
      <c r="X185" s="54"/>
    </row>
    <row r="186" spans="1:24" customFormat="1" ht="12.75" customHeight="1" x14ac:dyDescent="0.2">
      <c r="A186" s="58" t="s">
        <v>2309</v>
      </c>
      <c r="B186" s="53" t="s">
        <v>2310</v>
      </c>
      <c r="C186" s="59" t="s">
        <v>2309</v>
      </c>
      <c r="D186" s="272">
        <v>1221.5999999999999</v>
      </c>
      <c r="E186" s="272">
        <v>803</v>
      </c>
      <c r="F186" s="60">
        <f t="shared" si="6"/>
        <v>65.733464309102814</v>
      </c>
      <c r="G186" s="54"/>
      <c r="H186" s="54"/>
      <c r="I186" s="54"/>
      <c r="J186" s="54"/>
      <c r="K186" s="54"/>
      <c r="L186" s="54"/>
      <c r="M186" s="54"/>
      <c r="N186" s="54"/>
      <c r="O186" s="54"/>
      <c r="P186" s="54"/>
      <c r="Q186" s="54"/>
      <c r="R186" s="54"/>
      <c r="S186" s="54"/>
      <c r="T186" s="54"/>
      <c r="U186" s="54"/>
      <c r="V186" s="54"/>
      <c r="W186" s="54"/>
      <c r="X186" s="54"/>
    </row>
    <row r="187" spans="1:24" customFormat="1" ht="12.75" customHeight="1" x14ac:dyDescent="0.2">
      <c r="A187" s="58" t="s">
        <v>2311</v>
      </c>
      <c r="B187" s="53" t="s">
        <v>2312</v>
      </c>
      <c r="C187" s="59" t="s">
        <v>2311</v>
      </c>
      <c r="D187" s="272">
        <v>0</v>
      </c>
      <c r="E187" s="272">
        <v>0</v>
      </c>
      <c r="F187" s="60" t="str">
        <f t="shared" si="6"/>
        <v>-</v>
      </c>
      <c r="G187" s="54"/>
      <c r="H187" s="54"/>
      <c r="I187" s="54"/>
      <c r="J187" s="54"/>
      <c r="K187" s="54"/>
      <c r="L187" s="54"/>
      <c r="M187" s="54"/>
      <c r="N187" s="54"/>
      <c r="O187" s="54"/>
      <c r="P187" s="54"/>
      <c r="Q187" s="54"/>
      <c r="R187" s="54"/>
      <c r="S187" s="54"/>
      <c r="T187" s="54"/>
      <c r="U187" s="54"/>
      <c r="V187" s="54"/>
      <c r="W187" s="54"/>
      <c r="X187" s="54"/>
    </row>
    <row r="188" spans="1:24" customFormat="1" ht="12.75" customHeight="1" x14ac:dyDescent="0.2">
      <c r="A188" s="58" t="s">
        <v>2313</v>
      </c>
      <c r="B188" s="53" t="s">
        <v>2314</v>
      </c>
      <c r="C188" s="59" t="s">
        <v>2313</v>
      </c>
      <c r="D188" s="272">
        <v>594.29</v>
      </c>
      <c r="E188" s="272">
        <v>142.65</v>
      </c>
      <c r="F188" s="60">
        <f t="shared" si="6"/>
        <v>24.003432667552882</v>
      </c>
      <c r="G188" s="54"/>
      <c r="H188" s="54"/>
      <c r="I188" s="54"/>
      <c r="J188" s="54"/>
      <c r="K188" s="54"/>
      <c r="L188" s="54"/>
      <c r="M188" s="54"/>
      <c r="N188" s="54"/>
      <c r="O188" s="54"/>
      <c r="P188" s="54"/>
      <c r="Q188" s="54"/>
      <c r="R188" s="54"/>
      <c r="S188" s="54"/>
      <c r="T188" s="54"/>
      <c r="U188" s="54"/>
      <c r="V188" s="54"/>
      <c r="W188" s="54"/>
      <c r="X188" s="54"/>
    </row>
    <row r="189" spans="1:24" customFormat="1" ht="12.75" customHeight="1" x14ac:dyDescent="0.2">
      <c r="A189" s="58" t="s">
        <v>2315</v>
      </c>
      <c r="B189" s="53" t="s">
        <v>2316</v>
      </c>
      <c r="C189" s="59" t="s">
        <v>2315</v>
      </c>
      <c r="D189" s="272">
        <v>0</v>
      </c>
      <c r="E189" s="272">
        <v>60817.2</v>
      </c>
      <c r="F189" s="60" t="str">
        <f t="shared" si="6"/>
        <v>-</v>
      </c>
      <c r="G189" s="54"/>
      <c r="H189" s="54"/>
      <c r="I189" s="54"/>
      <c r="J189" s="54"/>
      <c r="K189" s="54"/>
      <c r="L189" s="54"/>
      <c r="M189" s="54"/>
      <c r="N189" s="54"/>
      <c r="O189" s="54"/>
      <c r="P189" s="54"/>
      <c r="Q189" s="54"/>
      <c r="R189" s="54"/>
      <c r="S189" s="54"/>
      <c r="T189" s="54"/>
      <c r="U189" s="54"/>
      <c r="V189" s="54"/>
      <c r="W189" s="54"/>
      <c r="X189" s="54"/>
    </row>
    <row r="190" spans="1:24" customFormat="1" ht="12.75" customHeight="1" x14ac:dyDescent="0.2">
      <c r="A190" s="58" t="s">
        <v>2317</v>
      </c>
      <c r="B190" s="53" t="s">
        <v>2318</v>
      </c>
      <c r="C190" s="59" t="s">
        <v>2317</v>
      </c>
      <c r="D190" s="271">
        <f>D191+D198-D205</f>
        <v>0</v>
      </c>
      <c r="E190" s="271">
        <f>E191+E198-E205</f>
        <v>0</v>
      </c>
      <c r="F190" s="60" t="str">
        <f t="shared" si="6"/>
        <v>-</v>
      </c>
      <c r="G190" s="54"/>
      <c r="H190" s="54"/>
      <c r="I190" s="54"/>
      <c r="J190" s="54"/>
      <c r="K190" s="54"/>
      <c r="L190" s="54"/>
      <c r="M190" s="54"/>
      <c r="N190" s="54"/>
      <c r="O190" s="54"/>
      <c r="P190" s="54"/>
      <c r="Q190" s="54"/>
      <c r="R190" s="54"/>
      <c r="S190" s="54"/>
      <c r="T190" s="54"/>
      <c r="U190" s="54"/>
      <c r="V190" s="54"/>
      <c r="W190" s="54"/>
      <c r="X190" s="54"/>
    </row>
    <row r="191" spans="1:24" customFormat="1" ht="24" customHeight="1" x14ac:dyDescent="0.2">
      <c r="A191" s="58"/>
      <c r="B191" s="53" t="s">
        <v>2319</v>
      </c>
      <c r="C191" s="59" t="s">
        <v>2320</v>
      </c>
      <c r="D191" s="271">
        <f>SUM(D192:D197)</f>
        <v>0</v>
      </c>
      <c r="E191" s="271">
        <f>SUM(E192:E197)</f>
        <v>0</v>
      </c>
      <c r="F191" s="60" t="str">
        <f t="shared" si="6"/>
        <v>-</v>
      </c>
      <c r="G191" s="54"/>
      <c r="H191" s="54"/>
      <c r="I191" s="54"/>
      <c r="J191" s="54"/>
      <c r="K191" s="54"/>
      <c r="L191" s="54"/>
      <c r="M191" s="54"/>
      <c r="N191" s="54"/>
      <c r="O191" s="54"/>
      <c r="P191" s="54"/>
      <c r="Q191" s="54"/>
      <c r="R191" s="54"/>
      <c r="S191" s="54"/>
      <c r="T191" s="54"/>
      <c r="U191" s="54"/>
      <c r="V191" s="54"/>
      <c r="W191" s="54"/>
      <c r="X191" s="54"/>
    </row>
    <row r="192" spans="1:24" customFormat="1" ht="12.75" customHeight="1" x14ac:dyDescent="0.2">
      <c r="A192" s="58" t="s">
        <v>2321</v>
      </c>
      <c r="B192" s="53" t="s">
        <v>2322</v>
      </c>
      <c r="C192" s="59" t="s">
        <v>2321</v>
      </c>
      <c r="D192" s="272">
        <v>0</v>
      </c>
      <c r="E192" s="272">
        <v>0</v>
      </c>
      <c r="F192" s="60" t="str">
        <f t="shared" si="6"/>
        <v>-</v>
      </c>
      <c r="G192" s="54"/>
      <c r="H192" s="54"/>
      <c r="I192" s="54"/>
      <c r="J192" s="54"/>
      <c r="K192" s="54"/>
      <c r="L192" s="54"/>
      <c r="M192" s="54"/>
      <c r="N192" s="54"/>
      <c r="O192" s="54"/>
      <c r="P192" s="54"/>
      <c r="Q192" s="54"/>
      <c r="R192" s="54"/>
      <c r="S192" s="54"/>
      <c r="T192" s="54"/>
      <c r="U192" s="54"/>
      <c r="V192" s="54"/>
      <c r="W192" s="54"/>
      <c r="X192" s="54"/>
    </row>
    <row r="193" spans="1:24" customFormat="1" ht="12.75" customHeight="1" x14ac:dyDescent="0.2">
      <c r="A193" s="58" t="s">
        <v>2323</v>
      </c>
      <c r="B193" s="53" t="s">
        <v>2324</v>
      </c>
      <c r="C193" s="59" t="s">
        <v>2323</v>
      </c>
      <c r="D193" s="272">
        <v>0</v>
      </c>
      <c r="E193" s="272">
        <v>0</v>
      </c>
      <c r="F193" s="60" t="str">
        <f t="shared" si="6"/>
        <v>-</v>
      </c>
      <c r="G193" s="54"/>
      <c r="H193" s="54"/>
      <c r="I193" s="54"/>
      <c r="J193" s="54"/>
      <c r="K193" s="54"/>
      <c r="L193" s="54"/>
      <c r="M193" s="54"/>
      <c r="N193" s="54"/>
      <c r="O193" s="54"/>
      <c r="P193" s="54"/>
      <c r="Q193" s="54"/>
      <c r="R193" s="54"/>
      <c r="S193" s="54"/>
      <c r="T193" s="54"/>
      <c r="U193" s="54"/>
      <c r="V193" s="54"/>
      <c r="W193" s="54"/>
      <c r="X193" s="54"/>
    </row>
    <row r="194" spans="1:24" customFormat="1" ht="12.75" customHeight="1" x14ac:dyDescent="0.2">
      <c r="A194" s="58" t="s">
        <v>2325</v>
      </c>
      <c r="B194" s="53" t="s">
        <v>2326</v>
      </c>
      <c r="C194" s="59" t="s">
        <v>2325</v>
      </c>
      <c r="D194" s="272">
        <v>0</v>
      </c>
      <c r="E194" s="272">
        <v>0</v>
      </c>
      <c r="F194" s="60" t="str">
        <f t="shared" si="6"/>
        <v>-</v>
      </c>
      <c r="G194" s="54"/>
      <c r="H194" s="54"/>
      <c r="I194" s="54"/>
      <c r="J194" s="54"/>
      <c r="K194" s="54"/>
      <c r="L194" s="54"/>
      <c r="M194" s="54"/>
      <c r="N194" s="54"/>
      <c r="O194" s="54"/>
      <c r="P194" s="54"/>
      <c r="Q194" s="54"/>
      <c r="R194" s="54"/>
      <c r="S194" s="54"/>
      <c r="T194" s="54"/>
      <c r="U194" s="54"/>
      <c r="V194" s="54"/>
      <c r="W194" s="54"/>
      <c r="X194" s="54"/>
    </row>
    <row r="195" spans="1:24" customFormat="1" ht="12.75" customHeight="1" x14ac:dyDescent="0.2">
      <c r="A195" s="58" t="s">
        <v>2327</v>
      </c>
      <c r="B195" s="53" t="s">
        <v>2328</v>
      </c>
      <c r="C195" s="59" t="s">
        <v>2327</v>
      </c>
      <c r="D195" s="272">
        <v>0</v>
      </c>
      <c r="E195" s="272">
        <v>0</v>
      </c>
      <c r="F195" s="60" t="str">
        <f t="shared" si="6"/>
        <v>-</v>
      </c>
      <c r="G195" s="54"/>
      <c r="H195" s="54"/>
      <c r="I195" s="54"/>
      <c r="J195" s="54"/>
      <c r="K195" s="54"/>
      <c r="L195" s="54"/>
      <c r="M195" s="54"/>
      <c r="N195" s="54"/>
      <c r="O195" s="54"/>
      <c r="P195" s="54"/>
      <c r="Q195" s="54"/>
      <c r="R195" s="54"/>
      <c r="S195" s="54"/>
      <c r="T195" s="54"/>
      <c r="U195" s="54"/>
      <c r="V195" s="54"/>
      <c r="W195" s="54"/>
      <c r="X195" s="54"/>
    </row>
    <row r="196" spans="1:24" customFormat="1" ht="12.75" customHeight="1" x14ac:dyDescent="0.2">
      <c r="A196" s="58" t="s">
        <v>2329</v>
      </c>
      <c r="B196" s="53" t="s">
        <v>2330</v>
      </c>
      <c r="C196" s="59" t="s">
        <v>2329</v>
      </c>
      <c r="D196" s="272">
        <v>0</v>
      </c>
      <c r="E196" s="272">
        <v>0</v>
      </c>
      <c r="F196" s="60" t="str">
        <f t="shared" si="6"/>
        <v>-</v>
      </c>
      <c r="G196" s="54"/>
      <c r="H196" s="54"/>
      <c r="I196" s="54"/>
      <c r="J196" s="54"/>
      <c r="K196" s="54"/>
      <c r="L196" s="54"/>
      <c r="M196" s="54"/>
      <c r="N196" s="54"/>
      <c r="O196" s="54"/>
      <c r="P196" s="54"/>
      <c r="Q196" s="54"/>
      <c r="R196" s="54"/>
      <c r="S196" s="54"/>
      <c r="T196" s="54"/>
      <c r="U196" s="54"/>
      <c r="V196" s="54"/>
      <c r="W196" s="54"/>
      <c r="X196" s="54"/>
    </row>
    <row r="197" spans="1:24" customFormat="1" ht="12.75" customHeight="1" x14ac:dyDescent="0.2">
      <c r="A197" s="58" t="s">
        <v>2331</v>
      </c>
      <c r="B197" s="53" t="s">
        <v>2332</v>
      </c>
      <c r="C197" s="59" t="s">
        <v>2331</v>
      </c>
      <c r="D197" s="272">
        <v>0</v>
      </c>
      <c r="E197" s="272">
        <v>0</v>
      </c>
      <c r="F197" s="60" t="str">
        <f t="shared" si="6"/>
        <v>-</v>
      </c>
      <c r="G197" s="54"/>
      <c r="H197" s="54"/>
      <c r="I197" s="54"/>
      <c r="J197" s="54"/>
      <c r="K197" s="54"/>
      <c r="L197" s="54"/>
      <c r="M197" s="54"/>
      <c r="N197" s="54"/>
      <c r="O197" s="54"/>
      <c r="P197" s="54"/>
      <c r="Q197" s="54"/>
      <c r="R197" s="54"/>
      <c r="S197" s="54"/>
      <c r="T197" s="54"/>
      <c r="U197" s="54"/>
      <c r="V197" s="54"/>
      <c r="W197" s="54"/>
      <c r="X197" s="54"/>
    </row>
    <row r="198" spans="1:24" customFormat="1" ht="24" customHeight="1" x14ac:dyDescent="0.2">
      <c r="A198" s="58"/>
      <c r="B198" s="53" t="s">
        <v>2333</v>
      </c>
      <c r="C198" s="59" t="s">
        <v>2334</v>
      </c>
      <c r="D198" s="271">
        <f>SUM(D199:D204)</f>
        <v>0</v>
      </c>
      <c r="E198" s="271">
        <f>SUM(E199:E204)</f>
        <v>0</v>
      </c>
      <c r="F198" s="60" t="str">
        <f t="shared" si="6"/>
        <v>-</v>
      </c>
      <c r="G198" s="54"/>
      <c r="H198" s="54"/>
      <c r="I198" s="54"/>
      <c r="J198" s="54"/>
      <c r="K198" s="54"/>
      <c r="L198" s="54"/>
      <c r="M198" s="54"/>
      <c r="N198" s="54"/>
      <c r="O198" s="54"/>
      <c r="P198" s="54"/>
      <c r="Q198" s="54"/>
      <c r="R198" s="54"/>
      <c r="S198" s="54"/>
      <c r="T198" s="54"/>
      <c r="U198" s="54"/>
      <c r="V198" s="54"/>
      <c r="W198" s="54"/>
      <c r="X198" s="54"/>
    </row>
    <row r="199" spans="1:24" customFormat="1" ht="12.75" customHeight="1" x14ac:dyDescent="0.2">
      <c r="A199" s="58" t="s">
        <v>2335</v>
      </c>
      <c r="B199" s="53" t="s">
        <v>2322</v>
      </c>
      <c r="C199" s="59" t="s">
        <v>2335</v>
      </c>
      <c r="D199" s="272">
        <v>0</v>
      </c>
      <c r="E199" s="272">
        <v>0</v>
      </c>
      <c r="F199" s="60" t="str">
        <f t="shared" si="6"/>
        <v>-</v>
      </c>
      <c r="G199" s="54"/>
      <c r="H199" s="54"/>
      <c r="I199" s="54"/>
      <c r="J199" s="54"/>
      <c r="K199" s="54"/>
      <c r="L199" s="54"/>
      <c r="M199" s="54"/>
      <c r="N199" s="54"/>
      <c r="O199" s="54"/>
      <c r="P199" s="54"/>
      <c r="Q199" s="54"/>
      <c r="R199" s="54"/>
      <c r="S199" s="54"/>
      <c r="T199" s="54"/>
      <c r="U199" s="54"/>
      <c r="V199" s="54"/>
      <c r="W199" s="54"/>
      <c r="X199" s="54"/>
    </row>
    <row r="200" spans="1:24" customFormat="1" ht="12.75" customHeight="1" x14ac:dyDescent="0.2">
      <c r="A200" s="58" t="s">
        <v>2336</v>
      </c>
      <c r="B200" s="53" t="s">
        <v>2324</v>
      </c>
      <c r="C200" s="59" t="s">
        <v>2336</v>
      </c>
      <c r="D200" s="272">
        <v>0</v>
      </c>
      <c r="E200" s="272">
        <v>0</v>
      </c>
      <c r="F200" s="60" t="str">
        <f t="shared" si="6"/>
        <v>-</v>
      </c>
      <c r="G200" s="54"/>
      <c r="H200" s="54"/>
      <c r="I200" s="54"/>
      <c r="J200" s="54"/>
      <c r="K200" s="54"/>
      <c r="L200" s="54"/>
      <c r="M200" s="54"/>
      <c r="N200" s="54"/>
      <c r="O200" s="54"/>
      <c r="P200" s="54"/>
      <c r="Q200" s="54"/>
      <c r="R200" s="54"/>
      <c r="S200" s="54"/>
      <c r="T200" s="54"/>
      <c r="U200" s="54"/>
      <c r="V200" s="54"/>
      <c r="W200" s="54"/>
      <c r="X200" s="54"/>
    </row>
    <row r="201" spans="1:24" customFormat="1" ht="12.75" customHeight="1" x14ac:dyDescent="0.2">
      <c r="A201" s="58" t="s">
        <v>2337</v>
      </c>
      <c r="B201" s="53" t="s">
        <v>2326</v>
      </c>
      <c r="C201" s="59" t="s">
        <v>2337</v>
      </c>
      <c r="D201" s="272">
        <v>0</v>
      </c>
      <c r="E201" s="272">
        <v>0</v>
      </c>
      <c r="F201" s="60" t="str">
        <f t="shared" si="6"/>
        <v>-</v>
      </c>
      <c r="G201" s="54"/>
      <c r="H201" s="54"/>
      <c r="I201" s="54"/>
      <c r="J201" s="54"/>
      <c r="K201" s="54"/>
      <c r="L201" s="54"/>
      <c r="M201" s="54"/>
      <c r="N201" s="54"/>
      <c r="O201" s="54"/>
      <c r="P201" s="54"/>
      <c r="Q201" s="54"/>
      <c r="R201" s="54"/>
      <c r="S201" s="54"/>
      <c r="T201" s="54"/>
      <c r="U201" s="54"/>
      <c r="V201" s="54"/>
      <c r="W201" s="54"/>
      <c r="X201" s="54"/>
    </row>
    <row r="202" spans="1:24" customFormat="1" ht="12.75" customHeight="1" x14ac:dyDescent="0.2">
      <c r="A202" s="58" t="s">
        <v>2338</v>
      </c>
      <c r="B202" s="53" t="s">
        <v>2328</v>
      </c>
      <c r="C202" s="59" t="s">
        <v>2338</v>
      </c>
      <c r="D202" s="272">
        <v>0</v>
      </c>
      <c r="E202" s="272">
        <v>0</v>
      </c>
      <c r="F202" s="60" t="str">
        <f t="shared" si="6"/>
        <v>-</v>
      </c>
      <c r="G202" s="54"/>
      <c r="H202" s="54"/>
      <c r="I202" s="54"/>
      <c r="J202" s="54"/>
      <c r="K202" s="54"/>
      <c r="L202" s="54"/>
      <c r="M202" s="54"/>
      <c r="N202" s="54"/>
      <c r="O202" s="54"/>
      <c r="P202" s="54"/>
      <c r="Q202" s="54"/>
      <c r="R202" s="54"/>
      <c r="S202" s="54"/>
      <c r="T202" s="54"/>
      <c r="U202" s="54"/>
      <c r="V202" s="54"/>
      <c r="W202" s="54"/>
      <c r="X202" s="54"/>
    </row>
    <row r="203" spans="1:24" customFormat="1" ht="12.75" customHeight="1" x14ac:dyDescent="0.2">
      <c r="A203" s="58" t="s">
        <v>2339</v>
      </c>
      <c r="B203" s="53" t="s">
        <v>2330</v>
      </c>
      <c r="C203" s="59" t="s">
        <v>2339</v>
      </c>
      <c r="D203" s="272">
        <v>0</v>
      </c>
      <c r="E203" s="272">
        <v>0</v>
      </c>
      <c r="F203" s="60" t="str">
        <f t="shared" si="6"/>
        <v>-</v>
      </c>
      <c r="G203" s="54"/>
      <c r="H203" s="54"/>
      <c r="I203" s="54"/>
      <c r="J203" s="54"/>
      <c r="K203" s="54"/>
      <c r="L203" s="54"/>
      <c r="M203" s="54"/>
      <c r="N203" s="54"/>
      <c r="O203" s="54"/>
      <c r="P203" s="54"/>
      <c r="Q203" s="54"/>
      <c r="R203" s="54"/>
      <c r="S203" s="54"/>
      <c r="T203" s="54"/>
      <c r="U203" s="54"/>
      <c r="V203" s="54"/>
      <c r="W203" s="54"/>
      <c r="X203" s="54"/>
    </row>
    <row r="204" spans="1:24" customFormat="1" ht="12.75" customHeight="1" x14ac:dyDescent="0.2">
      <c r="A204" s="58" t="s">
        <v>2340</v>
      </c>
      <c r="B204" s="53" t="s">
        <v>2332</v>
      </c>
      <c r="C204" s="59" t="s">
        <v>2340</v>
      </c>
      <c r="D204" s="272">
        <v>0</v>
      </c>
      <c r="E204" s="272">
        <v>0</v>
      </c>
      <c r="F204" s="60" t="str">
        <f t="shared" si="6"/>
        <v>-</v>
      </c>
      <c r="G204" s="54"/>
      <c r="H204" s="54"/>
      <c r="I204" s="54"/>
      <c r="J204" s="54"/>
      <c r="K204" s="54"/>
      <c r="L204" s="54"/>
      <c r="M204" s="54"/>
      <c r="N204" s="54"/>
      <c r="O204" s="54"/>
      <c r="P204" s="54"/>
      <c r="Q204" s="54"/>
      <c r="R204" s="54"/>
      <c r="S204" s="54"/>
      <c r="T204" s="54"/>
      <c r="U204" s="54"/>
      <c r="V204" s="54"/>
      <c r="W204" s="54"/>
      <c r="X204" s="54"/>
    </row>
    <row r="205" spans="1:24" customFormat="1" ht="12.75" customHeight="1" x14ac:dyDescent="0.2">
      <c r="A205" s="58" t="s">
        <v>2341</v>
      </c>
      <c r="B205" s="53" t="s">
        <v>2342</v>
      </c>
      <c r="C205" s="59" t="s">
        <v>2341</v>
      </c>
      <c r="D205" s="272">
        <v>0</v>
      </c>
      <c r="E205" s="272">
        <v>0</v>
      </c>
      <c r="F205" s="60" t="str">
        <f t="shared" si="6"/>
        <v>-</v>
      </c>
      <c r="G205" s="54"/>
      <c r="H205" s="54"/>
      <c r="I205" s="54"/>
      <c r="J205" s="54"/>
      <c r="K205" s="54"/>
      <c r="L205" s="54"/>
      <c r="M205" s="54"/>
      <c r="N205" s="54"/>
      <c r="O205" s="54"/>
      <c r="P205" s="54"/>
      <c r="Q205" s="54"/>
      <c r="R205" s="54"/>
      <c r="S205" s="54"/>
      <c r="T205" s="54"/>
      <c r="U205" s="54"/>
      <c r="V205" s="54"/>
      <c r="W205" s="54"/>
      <c r="X205" s="54"/>
    </row>
    <row r="206" spans="1:24" customFormat="1" ht="12.75" customHeight="1" x14ac:dyDescent="0.2">
      <c r="A206" s="58" t="s">
        <v>2343</v>
      </c>
      <c r="B206" s="53" t="s">
        <v>2344</v>
      </c>
      <c r="C206" s="59" t="s">
        <v>2343</v>
      </c>
      <c r="D206" s="271">
        <f>D207+D224</f>
        <v>8421.82</v>
      </c>
      <c r="E206" s="271">
        <f>E207+E224</f>
        <v>340915.82</v>
      </c>
      <c r="F206" s="60">
        <f t="shared" si="6"/>
        <v>4048.0064879087899</v>
      </c>
      <c r="G206" s="54"/>
      <c r="H206" s="54"/>
      <c r="I206" s="54"/>
      <c r="J206" s="54"/>
      <c r="K206" s="54"/>
      <c r="L206" s="54"/>
      <c r="M206" s="54"/>
      <c r="N206" s="54"/>
      <c r="O206" s="54"/>
      <c r="P206" s="54"/>
      <c r="Q206" s="54"/>
      <c r="R206" s="54"/>
      <c r="S206" s="54"/>
      <c r="T206" s="54"/>
      <c r="U206" s="54"/>
      <c r="V206" s="54"/>
      <c r="W206" s="54"/>
      <c r="X206" s="54"/>
    </row>
    <row r="207" spans="1:24" customFormat="1" ht="36" customHeight="1" x14ac:dyDescent="0.2">
      <c r="A207" s="58"/>
      <c r="B207" s="53" t="s">
        <v>2345</v>
      </c>
      <c r="C207" s="59" t="s">
        <v>2346</v>
      </c>
      <c r="D207" s="271">
        <f>SUM(D208:D223)</f>
        <v>8421.82</v>
      </c>
      <c r="E207" s="271">
        <f>SUM(E208:E223)</f>
        <v>340915.82</v>
      </c>
      <c r="F207" s="60">
        <f t="shared" ref="F207:F238" si="7">IF(D207&gt;0,IF(E207/D207&gt;=100,"&gt;&gt;100",E207/D207*100),"-")</f>
        <v>4048.0064879087899</v>
      </c>
      <c r="G207" s="54"/>
      <c r="H207" s="54"/>
      <c r="I207" s="54"/>
      <c r="J207" s="54"/>
      <c r="K207" s="54"/>
      <c r="L207" s="54"/>
      <c r="M207" s="54"/>
      <c r="N207" s="54"/>
      <c r="O207" s="54"/>
      <c r="P207" s="54"/>
      <c r="Q207" s="54"/>
      <c r="R207" s="54"/>
      <c r="S207" s="54"/>
      <c r="T207" s="54"/>
      <c r="U207" s="54"/>
      <c r="V207" s="54"/>
      <c r="W207" s="54"/>
      <c r="X207" s="54"/>
    </row>
    <row r="208" spans="1:24" customFormat="1" ht="12.75" customHeight="1" x14ac:dyDescent="0.2">
      <c r="A208" s="58" t="s">
        <v>2347</v>
      </c>
      <c r="B208" s="53" t="s">
        <v>2348</v>
      </c>
      <c r="C208" s="59" t="s">
        <v>2347</v>
      </c>
      <c r="D208" s="272">
        <v>0</v>
      </c>
      <c r="E208" s="272">
        <v>335214.7</v>
      </c>
      <c r="F208" s="60" t="str">
        <f t="shared" si="7"/>
        <v>-</v>
      </c>
      <c r="G208" s="54"/>
      <c r="H208" s="54"/>
      <c r="I208" s="54"/>
      <c r="J208" s="54"/>
      <c r="K208" s="54"/>
      <c r="L208" s="54"/>
      <c r="M208" s="54"/>
      <c r="N208" s="54"/>
      <c r="O208" s="54"/>
      <c r="P208" s="54"/>
      <c r="Q208" s="54"/>
      <c r="R208" s="54"/>
      <c r="S208" s="54"/>
      <c r="T208" s="54"/>
      <c r="U208" s="54"/>
      <c r="V208" s="54"/>
      <c r="W208" s="54"/>
      <c r="X208" s="54"/>
    </row>
    <row r="209" spans="1:24" customFormat="1" ht="12.75" customHeight="1" x14ac:dyDescent="0.2">
      <c r="A209" s="58" t="s">
        <v>2349</v>
      </c>
      <c r="B209" s="53" t="s">
        <v>2350</v>
      </c>
      <c r="C209" s="59" t="s">
        <v>2349</v>
      </c>
      <c r="D209" s="272">
        <v>0</v>
      </c>
      <c r="E209" s="272">
        <v>0</v>
      </c>
      <c r="F209" s="60" t="str">
        <f t="shared" si="7"/>
        <v>-</v>
      </c>
      <c r="G209" s="54"/>
      <c r="H209" s="54"/>
      <c r="I209" s="54"/>
      <c r="J209" s="54"/>
      <c r="K209" s="54"/>
      <c r="L209" s="54"/>
      <c r="M209" s="54"/>
      <c r="N209" s="54"/>
      <c r="O209" s="54"/>
      <c r="P209" s="54"/>
      <c r="Q209" s="54"/>
      <c r="R209" s="54"/>
      <c r="S209" s="54"/>
      <c r="T209" s="54"/>
      <c r="U209" s="54"/>
      <c r="V209" s="54"/>
      <c r="W209" s="54"/>
      <c r="X209" s="54"/>
    </row>
    <row r="210" spans="1:24" customFormat="1" ht="12.75" customHeight="1" x14ac:dyDescent="0.2">
      <c r="A210" s="58" t="s">
        <v>2351</v>
      </c>
      <c r="B210" s="53" t="s">
        <v>2352</v>
      </c>
      <c r="C210" s="59" t="s">
        <v>2351</v>
      </c>
      <c r="D210" s="272">
        <v>0</v>
      </c>
      <c r="E210" s="272">
        <v>0</v>
      </c>
      <c r="F210" s="60" t="str">
        <f t="shared" si="7"/>
        <v>-</v>
      </c>
      <c r="G210" s="54"/>
      <c r="H210" s="54"/>
      <c r="I210" s="54"/>
      <c r="J210" s="54"/>
      <c r="K210" s="54"/>
      <c r="L210" s="54"/>
      <c r="M210" s="54"/>
      <c r="N210" s="54"/>
      <c r="O210" s="54"/>
      <c r="P210" s="54"/>
      <c r="Q210" s="54"/>
      <c r="R210" s="54"/>
      <c r="S210" s="54"/>
      <c r="T210" s="54"/>
      <c r="U210" s="54"/>
      <c r="V210" s="54"/>
      <c r="W210" s="54"/>
      <c r="X210" s="54"/>
    </row>
    <row r="211" spans="1:24" customFormat="1" ht="12.75" customHeight="1" x14ac:dyDescent="0.2">
      <c r="A211" s="58" t="s">
        <v>2353</v>
      </c>
      <c r="B211" s="53" t="s">
        <v>2354</v>
      </c>
      <c r="C211" s="59" t="s">
        <v>2353</v>
      </c>
      <c r="D211" s="272">
        <v>0</v>
      </c>
      <c r="E211" s="272">
        <v>0</v>
      </c>
      <c r="F211" s="60" t="str">
        <f t="shared" si="7"/>
        <v>-</v>
      </c>
      <c r="G211" s="54"/>
      <c r="H211" s="54"/>
      <c r="I211" s="54"/>
      <c r="J211" s="54"/>
      <c r="K211" s="54"/>
      <c r="L211" s="54"/>
      <c r="M211" s="54"/>
      <c r="N211" s="54"/>
      <c r="O211" s="54"/>
      <c r="P211" s="54"/>
      <c r="Q211" s="54"/>
      <c r="R211" s="54"/>
      <c r="S211" s="54"/>
      <c r="T211" s="54"/>
      <c r="U211" s="54"/>
      <c r="V211" s="54"/>
      <c r="W211" s="54"/>
      <c r="X211" s="54"/>
    </row>
    <row r="212" spans="1:24" customFormat="1" ht="12.75" customHeight="1" x14ac:dyDescent="0.2">
      <c r="A212" s="58" t="s">
        <v>2355</v>
      </c>
      <c r="B212" s="53" t="s">
        <v>2356</v>
      </c>
      <c r="C212" s="59" t="s">
        <v>2355</v>
      </c>
      <c r="D212" s="272">
        <v>0</v>
      </c>
      <c r="E212" s="272">
        <v>0</v>
      </c>
      <c r="F212" s="60" t="str">
        <f t="shared" si="7"/>
        <v>-</v>
      </c>
      <c r="G212" s="54"/>
      <c r="H212" s="54"/>
      <c r="I212" s="54"/>
      <c r="J212" s="54"/>
      <c r="K212" s="54"/>
      <c r="L212" s="54"/>
      <c r="M212" s="54"/>
      <c r="N212" s="54"/>
      <c r="O212" s="54"/>
      <c r="P212" s="54"/>
      <c r="Q212" s="54"/>
      <c r="R212" s="54"/>
      <c r="S212" s="54"/>
      <c r="T212" s="54"/>
      <c r="U212" s="54"/>
      <c r="V212" s="54"/>
      <c r="W212" s="54"/>
      <c r="X212" s="54"/>
    </row>
    <row r="213" spans="1:24" customFormat="1" ht="12.75" customHeight="1" x14ac:dyDescent="0.2">
      <c r="A213" s="58" t="s">
        <v>2357</v>
      </c>
      <c r="B213" s="53" t="s">
        <v>2358</v>
      </c>
      <c r="C213" s="59" t="s">
        <v>2357</v>
      </c>
      <c r="D213" s="272">
        <v>0</v>
      </c>
      <c r="E213" s="272">
        <v>0</v>
      </c>
      <c r="F213" s="60" t="str">
        <f t="shared" si="7"/>
        <v>-</v>
      </c>
      <c r="G213" s="54"/>
      <c r="H213" s="54"/>
      <c r="I213" s="54"/>
      <c r="J213" s="54"/>
      <c r="K213" s="54"/>
      <c r="L213" s="54"/>
      <c r="M213" s="54"/>
      <c r="N213" s="54"/>
      <c r="O213" s="54"/>
      <c r="P213" s="54"/>
      <c r="Q213" s="54"/>
      <c r="R213" s="54"/>
      <c r="S213" s="54"/>
      <c r="T213" s="54"/>
      <c r="U213" s="54"/>
      <c r="V213" s="54"/>
      <c r="W213" s="54"/>
      <c r="X213" s="54"/>
    </row>
    <row r="214" spans="1:24" customFormat="1" ht="24" customHeight="1" x14ac:dyDescent="0.2">
      <c r="A214" s="58" t="s">
        <v>2359</v>
      </c>
      <c r="B214" s="53" t="s">
        <v>2360</v>
      </c>
      <c r="C214" s="59" t="s">
        <v>2359</v>
      </c>
      <c r="D214" s="272">
        <v>0</v>
      </c>
      <c r="E214" s="272">
        <v>0</v>
      </c>
      <c r="F214" s="60" t="str">
        <f t="shared" si="7"/>
        <v>-</v>
      </c>
      <c r="G214" s="54"/>
      <c r="H214" s="54"/>
      <c r="I214" s="54"/>
      <c r="J214" s="54"/>
      <c r="K214" s="54"/>
      <c r="L214" s="54"/>
      <c r="M214" s="54"/>
      <c r="N214" s="54"/>
      <c r="O214" s="54"/>
      <c r="P214" s="54"/>
      <c r="Q214" s="54"/>
      <c r="R214" s="54"/>
      <c r="S214" s="54"/>
      <c r="T214" s="54"/>
      <c r="U214" s="54"/>
      <c r="V214" s="54"/>
      <c r="W214" s="54"/>
      <c r="X214" s="54"/>
    </row>
    <row r="215" spans="1:24" customFormat="1" ht="12.75" customHeight="1" x14ac:dyDescent="0.2">
      <c r="A215" s="58" t="s">
        <v>2361</v>
      </c>
      <c r="B215" s="53" t="s">
        <v>2362</v>
      </c>
      <c r="C215" s="59" t="s">
        <v>2361</v>
      </c>
      <c r="D215" s="272">
        <v>0</v>
      </c>
      <c r="E215" s="272">
        <v>0</v>
      </c>
      <c r="F215" s="60" t="str">
        <f t="shared" si="7"/>
        <v>-</v>
      </c>
      <c r="G215" s="54"/>
      <c r="H215" s="54"/>
      <c r="I215" s="54"/>
      <c r="J215" s="54"/>
      <c r="K215" s="54"/>
      <c r="L215" s="54"/>
      <c r="M215" s="54"/>
      <c r="N215" s="54"/>
      <c r="O215" s="54"/>
      <c r="P215" s="54"/>
      <c r="Q215" s="54"/>
      <c r="R215" s="54"/>
      <c r="S215" s="54"/>
      <c r="T215" s="54"/>
      <c r="U215" s="54"/>
      <c r="V215" s="54"/>
      <c r="W215" s="54"/>
      <c r="X215" s="54"/>
    </row>
    <row r="216" spans="1:24" customFormat="1" ht="12.75" customHeight="1" x14ac:dyDescent="0.2">
      <c r="A216" s="58" t="s">
        <v>2363</v>
      </c>
      <c r="B216" s="53" t="s">
        <v>2364</v>
      </c>
      <c r="C216" s="59" t="s">
        <v>2363</v>
      </c>
      <c r="D216" s="272">
        <v>0</v>
      </c>
      <c r="E216" s="272">
        <v>0</v>
      </c>
      <c r="F216" s="60" t="str">
        <f t="shared" si="7"/>
        <v>-</v>
      </c>
      <c r="G216" s="54"/>
      <c r="H216" s="54"/>
      <c r="I216" s="54"/>
      <c r="J216" s="54"/>
      <c r="K216" s="54"/>
      <c r="L216" s="54"/>
      <c r="M216" s="54"/>
      <c r="N216" s="54"/>
      <c r="O216" s="54"/>
      <c r="P216" s="54"/>
      <c r="Q216" s="54"/>
      <c r="R216" s="54"/>
      <c r="S216" s="54"/>
      <c r="T216" s="54"/>
      <c r="U216" s="54"/>
      <c r="V216" s="54"/>
      <c r="W216" s="54"/>
      <c r="X216" s="54"/>
    </row>
    <row r="217" spans="1:24" customFormat="1" ht="12.75" customHeight="1" x14ac:dyDescent="0.2">
      <c r="A217" s="58" t="s">
        <v>2365</v>
      </c>
      <c r="B217" s="53" t="s">
        <v>2366</v>
      </c>
      <c r="C217" s="59" t="s">
        <v>2365</v>
      </c>
      <c r="D217" s="272">
        <v>8421.82</v>
      </c>
      <c r="E217" s="272">
        <v>5701.12</v>
      </c>
      <c r="F217" s="60">
        <f t="shared" si="7"/>
        <v>67.694631326720355</v>
      </c>
      <c r="G217" s="54"/>
      <c r="H217" s="54"/>
      <c r="I217" s="54"/>
      <c r="J217" s="54"/>
      <c r="K217" s="54"/>
      <c r="L217" s="54"/>
      <c r="M217" s="54"/>
      <c r="N217" s="54"/>
      <c r="O217" s="54"/>
      <c r="P217" s="54"/>
      <c r="Q217" s="54"/>
      <c r="R217" s="54"/>
      <c r="S217" s="54"/>
      <c r="T217" s="54"/>
      <c r="U217" s="54"/>
      <c r="V217" s="54"/>
      <c r="W217" s="54"/>
      <c r="X217" s="54"/>
    </row>
    <row r="218" spans="1:24" customFormat="1" ht="12.75" customHeight="1" x14ac:dyDescent="0.2">
      <c r="A218" s="58" t="s">
        <v>2367</v>
      </c>
      <c r="B218" s="53" t="s">
        <v>2368</v>
      </c>
      <c r="C218" s="59" t="s">
        <v>2367</v>
      </c>
      <c r="D218" s="272">
        <v>0</v>
      </c>
      <c r="E218" s="272">
        <v>0</v>
      </c>
      <c r="F218" s="60" t="str">
        <f t="shared" si="7"/>
        <v>-</v>
      </c>
      <c r="G218" s="54"/>
      <c r="H218" s="54"/>
      <c r="I218" s="54"/>
      <c r="J218" s="54"/>
      <c r="K218" s="54"/>
      <c r="L218" s="54"/>
      <c r="M218" s="54"/>
      <c r="N218" s="54"/>
      <c r="O218" s="54"/>
      <c r="P218" s="54"/>
      <c r="Q218" s="54"/>
      <c r="R218" s="54"/>
      <c r="S218" s="54"/>
      <c r="T218" s="54"/>
      <c r="U218" s="54"/>
      <c r="V218" s="54"/>
      <c r="W218" s="54"/>
      <c r="X218" s="54"/>
    </row>
    <row r="219" spans="1:24" customFormat="1" ht="12.75" customHeight="1" x14ac:dyDescent="0.2">
      <c r="A219" s="58" t="s">
        <v>2369</v>
      </c>
      <c r="B219" s="53" t="s">
        <v>2370</v>
      </c>
      <c r="C219" s="59" t="s">
        <v>2369</v>
      </c>
      <c r="D219" s="272">
        <v>0</v>
      </c>
      <c r="E219" s="272">
        <v>0</v>
      </c>
      <c r="F219" s="60" t="str">
        <f t="shared" si="7"/>
        <v>-</v>
      </c>
      <c r="G219" s="54"/>
      <c r="H219" s="54"/>
      <c r="I219" s="54"/>
      <c r="J219" s="54"/>
      <c r="K219" s="54"/>
      <c r="L219" s="54"/>
      <c r="M219" s="54"/>
      <c r="N219" s="54"/>
      <c r="O219" s="54"/>
      <c r="P219" s="54"/>
      <c r="Q219" s="54"/>
      <c r="R219" s="54"/>
      <c r="S219" s="54"/>
      <c r="T219" s="54"/>
      <c r="U219" s="54"/>
      <c r="V219" s="54"/>
      <c r="W219" s="54"/>
      <c r="X219" s="54"/>
    </row>
    <row r="220" spans="1:24" customFormat="1" ht="12.75" customHeight="1" x14ac:dyDescent="0.2">
      <c r="A220" s="58" t="s">
        <v>2371</v>
      </c>
      <c r="B220" s="53" t="s">
        <v>2372</v>
      </c>
      <c r="C220" s="59" t="s">
        <v>2371</v>
      </c>
      <c r="D220" s="272">
        <v>0</v>
      </c>
      <c r="E220" s="272">
        <v>0</v>
      </c>
      <c r="F220" s="60" t="str">
        <f t="shared" si="7"/>
        <v>-</v>
      </c>
      <c r="G220" s="54"/>
      <c r="H220" s="54"/>
      <c r="I220" s="54"/>
      <c r="J220" s="54"/>
      <c r="K220" s="54"/>
      <c r="L220" s="54"/>
      <c r="M220" s="54"/>
      <c r="N220" s="54"/>
      <c r="O220" s="54"/>
      <c r="P220" s="54"/>
      <c r="Q220" s="54"/>
      <c r="R220" s="54"/>
      <c r="S220" s="54"/>
      <c r="T220" s="54"/>
      <c r="U220" s="54"/>
      <c r="V220" s="54"/>
      <c r="W220" s="54"/>
      <c r="X220" s="54"/>
    </row>
    <row r="221" spans="1:24" customFormat="1" ht="12.75" customHeight="1" x14ac:dyDescent="0.2">
      <c r="A221" s="58" t="s">
        <v>2373</v>
      </c>
      <c r="B221" s="53" t="s">
        <v>2374</v>
      </c>
      <c r="C221" s="59" t="s">
        <v>2373</v>
      </c>
      <c r="D221" s="272">
        <v>0</v>
      </c>
      <c r="E221" s="272">
        <v>0</v>
      </c>
      <c r="F221" s="60" t="str">
        <f t="shared" si="7"/>
        <v>-</v>
      </c>
      <c r="G221" s="54"/>
      <c r="H221" s="54"/>
      <c r="I221" s="54"/>
      <c r="J221" s="54"/>
      <c r="K221" s="54"/>
      <c r="L221" s="54"/>
      <c r="M221" s="54"/>
      <c r="N221" s="54"/>
      <c r="O221" s="54"/>
      <c r="P221" s="54"/>
      <c r="Q221" s="54"/>
      <c r="R221" s="54"/>
      <c r="S221" s="54"/>
      <c r="T221" s="54"/>
      <c r="U221" s="54"/>
      <c r="V221" s="54"/>
      <c r="W221" s="54"/>
      <c r="X221" s="54"/>
    </row>
    <row r="222" spans="1:24" customFormat="1" ht="24" customHeight="1" x14ac:dyDescent="0.2">
      <c r="A222" s="58" t="s">
        <v>2375</v>
      </c>
      <c r="B222" s="53" t="s">
        <v>2376</v>
      </c>
      <c r="C222" s="59" t="s">
        <v>2375</v>
      </c>
      <c r="D222" s="272">
        <v>0</v>
      </c>
      <c r="E222" s="272">
        <v>0</v>
      </c>
      <c r="F222" s="60" t="str">
        <f t="shared" si="7"/>
        <v>-</v>
      </c>
      <c r="G222" s="54"/>
      <c r="H222" s="54"/>
      <c r="I222" s="54"/>
      <c r="J222" s="54"/>
      <c r="K222" s="54"/>
      <c r="L222" s="54"/>
      <c r="M222" s="54"/>
      <c r="N222" s="54"/>
      <c r="O222" s="54"/>
      <c r="P222" s="54"/>
      <c r="Q222" s="54"/>
      <c r="R222" s="54"/>
      <c r="S222" s="54"/>
      <c r="T222" s="54"/>
      <c r="U222" s="54"/>
      <c r="V222" s="54"/>
      <c r="W222" s="54"/>
      <c r="X222" s="54"/>
    </row>
    <row r="223" spans="1:24" customFormat="1" ht="24" customHeight="1" x14ac:dyDescent="0.2">
      <c r="A223" s="58" t="s">
        <v>2377</v>
      </c>
      <c r="B223" s="122" t="s">
        <v>2378</v>
      </c>
      <c r="C223" s="59" t="s">
        <v>2377</v>
      </c>
      <c r="D223" s="272">
        <v>0</v>
      </c>
      <c r="E223" s="272">
        <v>0</v>
      </c>
      <c r="F223" s="60" t="str">
        <f t="shared" si="7"/>
        <v>-</v>
      </c>
      <c r="G223" s="54"/>
      <c r="H223" s="54"/>
      <c r="I223" s="54"/>
      <c r="J223" s="54"/>
      <c r="K223" s="54"/>
      <c r="L223" s="54"/>
      <c r="M223" s="54"/>
      <c r="N223" s="54"/>
      <c r="O223" s="54"/>
      <c r="P223" s="54"/>
      <c r="Q223" s="54"/>
      <c r="R223" s="54"/>
      <c r="S223" s="54"/>
      <c r="T223" s="54"/>
      <c r="U223" s="54"/>
      <c r="V223" s="54"/>
      <c r="W223" s="54"/>
      <c r="X223" s="54"/>
    </row>
    <row r="224" spans="1:24" customFormat="1" ht="24" customHeight="1" x14ac:dyDescent="0.2">
      <c r="A224" s="58"/>
      <c r="B224" s="53" t="s">
        <v>2379</v>
      </c>
      <c r="C224" s="59" t="s">
        <v>2380</v>
      </c>
      <c r="D224" s="271">
        <f>SUM(D225:D233)</f>
        <v>0</v>
      </c>
      <c r="E224" s="271">
        <f>SUM(E225:E233)</f>
        <v>0</v>
      </c>
      <c r="F224" s="60" t="str">
        <f t="shared" si="7"/>
        <v>-</v>
      </c>
      <c r="G224" s="54"/>
      <c r="H224" s="54"/>
      <c r="I224" s="54"/>
      <c r="J224" s="54"/>
      <c r="K224" s="54"/>
      <c r="L224" s="54"/>
      <c r="M224" s="54"/>
      <c r="N224" s="54"/>
      <c r="O224" s="54"/>
      <c r="P224" s="54"/>
      <c r="Q224" s="54"/>
      <c r="R224" s="54"/>
      <c r="S224" s="54"/>
      <c r="T224" s="54"/>
      <c r="U224" s="54"/>
      <c r="V224" s="54"/>
      <c r="W224" s="54"/>
      <c r="X224" s="54"/>
    </row>
    <row r="225" spans="1:24" customFormat="1" ht="12.75" customHeight="1" x14ac:dyDescent="0.2">
      <c r="A225" s="58" t="s">
        <v>2381</v>
      </c>
      <c r="B225" s="53" t="s">
        <v>2382</v>
      </c>
      <c r="C225" s="59" t="s">
        <v>2381</v>
      </c>
      <c r="D225" s="272">
        <v>0</v>
      </c>
      <c r="E225" s="272">
        <v>0</v>
      </c>
      <c r="F225" s="60" t="str">
        <f t="shared" si="7"/>
        <v>-</v>
      </c>
      <c r="G225" s="54"/>
      <c r="H225" s="54"/>
      <c r="I225" s="54"/>
      <c r="J225" s="54"/>
      <c r="K225" s="54"/>
      <c r="L225" s="54"/>
      <c r="M225" s="54"/>
      <c r="N225" s="54"/>
      <c r="O225" s="54"/>
      <c r="P225" s="54"/>
      <c r="Q225" s="54"/>
      <c r="R225" s="54"/>
      <c r="S225" s="54"/>
      <c r="T225" s="54"/>
      <c r="U225" s="54"/>
      <c r="V225" s="54"/>
      <c r="W225" s="54"/>
      <c r="X225" s="54"/>
    </row>
    <row r="226" spans="1:24" customFormat="1" ht="12.75" customHeight="1" x14ac:dyDescent="0.2">
      <c r="A226" s="58" t="s">
        <v>2383</v>
      </c>
      <c r="B226" s="53" t="s">
        <v>2384</v>
      </c>
      <c r="C226" s="59" t="s">
        <v>2383</v>
      </c>
      <c r="D226" s="272">
        <v>0</v>
      </c>
      <c r="E226" s="272">
        <v>0</v>
      </c>
      <c r="F226" s="60" t="str">
        <f t="shared" si="7"/>
        <v>-</v>
      </c>
      <c r="G226" s="54"/>
      <c r="H226" s="54"/>
      <c r="I226" s="54"/>
      <c r="J226" s="54"/>
      <c r="K226" s="54"/>
      <c r="L226" s="54"/>
      <c r="M226" s="54"/>
      <c r="N226" s="54"/>
      <c r="O226" s="54"/>
      <c r="P226" s="54"/>
      <c r="Q226" s="54"/>
      <c r="R226" s="54"/>
      <c r="S226" s="54"/>
      <c r="T226" s="54"/>
      <c r="U226" s="54"/>
      <c r="V226" s="54"/>
      <c r="W226" s="54"/>
      <c r="X226" s="54"/>
    </row>
    <row r="227" spans="1:24" customFormat="1" ht="12.75" customHeight="1" x14ac:dyDescent="0.2">
      <c r="A227" s="58" t="s">
        <v>2385</v>
      </c>
      <c r="B227" s="53" t="s">
        <v>2386</v>
      </c>
      <c r="C227" s="59" t="s">
        <v>2385</v>
      </c>
      <c r="D227" s="272">
        <v>0</v>
      </c>
      <c r="E227" s="272">
        <v>0</v>
      </c>
      <c r="F227" s="60" t="str">
        <f t="shared" si="7"/>
        <v>-</v>
      </c>
      <c r="G227" s="54"/>
      <c r="H227" s="54"/>
      <c r="I227" s="54"/>
      <c r="J227" s="54"/>
      <c r="K227" s="54"/>
      <c r="L227" s="54"/>
      <c r="M227" s="54"/>
      <c r="N227" s="54"/>
      <c r="O227" s="54"/>
      <c r="P227" s="54"/>
      <c r="Q227" s="54"/>
      <c r="R227" s="54"/>
      <c r="S227" s="54"/>
      <c r="T227" s="54"/>
      <c r="U227" s="54"/>
      <c r="V227" s="54"/>
      <c r="W227" s="54"/>
      <c r="X227" s="54"/>
    </row>
    <row r="228" spans="1:24" customFormat="1" ht="12.75" customHeight="1" x14ac:dyDescent="0.2">
      <c r="A228" s="58" t="s">
        <v>2387</v>
      </c>
      <c r="B228" s="53" t="s">
        <v>2388</v>
      </c>
      <c r="C228" s="59" t="s">
        <v>2387</v>
      </c>
      <c r="D228" s="272">
        <v>0</v>
      </c>
      <c r="E228" s="272">
        <v>0</v>
      </c>
      <c r="F228" s="60" t="str">
        <f t="shared" si="7"/>
        <v>-</v>
      </c>
      <c r="G228" s="54"/>
      <c r="H228" s="54"/>
      <c r="I228" s="54"/>
      <c r="J228" s="54"/>
      <c r="K228" s="54"/>
      <c r="L228" s="54"/>
      <c r="M228" s="54"/>
      <c r="N228" s="54"/>
      <c r="O228" s="54"/>
      <c r="P228" s="54"/>
      <c r="Q228" s="54"/>
      <c r="R228" s="54"/>
      <c r="S228" s="54"/>
      <c r="T228" s="54"/>
      <c r="U228" s="54"/>
      <c r="V228" s="54"/>
      <c r="W228" s="54"/>
      <c r="X228" s="54"/>
    </row>
    <row r="229" spans="1:24" customFormat="1" ht="12.75" customHeight="1" x14ac:dyDescent="0.2">
      <c r="A229" s="58" t="s">
        <v>2389</v>
      </c>
      <c r="B229" s="53" t="s">
        <v>2390</v>
      </c>
      <c r="C229" s="59" t="s">
        <v>2389</v>
      </c>
      <c r="D229" s="272">
        <v>0</v>
      </c>
      <c r="E229" s="272">
        <v>0</v>
      </c>
      <c r="F229" s="60" t="str">
        <f t="shared" si="7"/>
        <v>-</v>
      </c>
      <c r="G229" s="54"/>
      <c r="H229" s="54"/>
      <c r="I229" s="54"/>
      <c r="J229" s="54"/>
      <c r="K229" s="54"/>
      <c r="L229" s="54"/>
      <c r="M229" s="54"/>
      <c r="N229" s="54"/>
      <c r="O229" s="54"/>
      <c r="P229" s="54"/>
      <c r="Q229" s="54"/>
      <c r="R229" s="54"/>
      <c r="S229" s="54"/>
      <c r="T229" s="54"/>
      <c r="U229" s="54"/>
      <c r="V229" s="54"/>
      <c r="W229" s="54"/>
      <c r="X229" s="54"/>
    </row>
    <row r="230" spans="1:24" customFormat="1" ht="12.75" customHeight="1" x14ac:dyDescent="0.2">
      <c r="A230" s="58" t="s">
        <v>2391</v>
      </c>
      <c r="B230" s="53" t="s">
        <v>2392</v>
      </c>
      <c r="C230" s="59" t="s">
        <v>2391</v>
      </c>
      <c r="D230" s="272">
        <v>0</v>
      </c>
      <c r="E230" s="272">
        <v>0</v>
      </c>
      <c r="F230" s="60" t="str">
        <f t="shared" si="7"/>
        <v>-</v>
      </c>
      <c r="G230" s="54"/>
      <c r="H230" s="54"/>
      <c r="I230" s="54"/>
      <c r="J230" s="54"/>
      <c r="K230" s="54"/>
      <c r="L230" s="54"/>
      <c r="M230" s="54"/>
      <c r="N230" s="54"/>
      <c r="O230" s="54"/>
      <c r="P230" s="54"/>
      <c r="Q230" s="54"/>
      <c r="R230" s="54"/>
      <c r="S230" s="54"/>
      <c r="T230" s="54"/>
      <c r="U230" s="54"/>
      <c r="V230" s="54"/>
      <c r="W230" s="54"/>
      <c r="X230" s="54"/>
    </row>
    <row r="231" spans="1:24" customFormat="1" ht="12.75" customHeight="1" x14ac:dyDescent="0.2">
      <c r="A231" s="58" t="s">
        <v>2393</v>
      </c>
      <c r="B231" s="53" t="s">
        <v>2394</v>
      </c>
      <c r="C231" s="59" t="s">
        <v>2393</v>
      </c>
      <c r="D231" s="272">
        <v>0</v>
      </c>
      <c r="E231" s="272">
        <v>0</v>
      </c>
      <c r="F231" s="60" t="str">
        <f t="shared" si="7"/>
        <v>-</v>
      </c>
      <c r="G231" s="54"/>
      <c r="H231" s="54"/>
      <c r="I231" s="54"/>
      <c r="J231" s="54"/>
      <c r="K231" s="54"/>
      <c r="L231" s="54"/>
      <c r="M231" s="54"/>
      <c r="N231" s="54"/>
      <c r="O231" s="54"/>
      <c r="P231" s="54"/>
      <c r="Q231" s="54"/>
      <c r="R231" s="54"/>
      <c r="S231" s="54"/>
      <c r="T231" s="54"/>
      <c r="U231" s="54"/>
      <c r="V231" s="54"/>
      <c r="W231" s="54"/>
      <c r="X231" s="54"/>
    </row>
    <row r="232" spans="1:24" customFormat="1" ht="12.75" customHeight="1" x14ac:dyDescent="0.2">
      <c r="A232" s="58" t="s">
        <v>2395</v>
      </c>
      <c r="B232" s="53" t="s">
        <v>2396</v>
      </c>
      <c r="C232" s="59" t="s">
        <v>2395</v>
      </c>
      <c r="D232" s="272">
        <v>0</v>
      </c>
      <c r="E232" s="272">
        <v>0</v>
      </c>
      <c r="F232" s="60" t="str">
        <f t="shared" si="7"/>
        <v>-</v>
      </c>
      <c r="G232" s="54"/>
      <c r="H232" s="54"/>
      <c r="I232" s="54"/>
      <c r="J232" s="54"/>
      <c r="K232" s="54"/>
      <c r="L232" s="54"/>
      <c r="M232" s="54"/>
      <c r="N232" s="54"/>
      <c r="O232" s="54"/>
      <c r="P232" s="54"/>
      <c r="Q232" s="54"/>
      <c r="R232" s="54"/>
      <c r="S232" s="54"/>
      <c r="T232" s="54"/>
      <c r="U232" s="54"/>
      <c r="V232" s="54"/>
      <c r="W232" s="54"/>
      <c r="X232" s="54"/>
    </row>
    <row r="233" spans="1:24" customFormat="1" ht="12.75" customHeight="1" x14ac:dyDescent="0.2">
      <c r="A233" s="58" t="s">
        <v>2397</v>
      </c>
      <c r="B233" s="53" t="s">
        <v>2398</v>
      </c>
      <c r="C233" s="59" t="s">
        <v>2397</v>
      </c>
      <c r="D233" s="272">
        <v>0</v>
      </c>
      <c r="E233" s="272">
        <v>0</v>
      </c>
      <c r="F233" s="60" t="str">
        <f t="shared" si="7"/>
        <v>-</v>
      </c>
      <c r="G233" s="54"/>
      <c r="H233" s="54"/>
      <c r="I233" s="54"/>
      <c r="J233" s="54"/>
      <c r="K233" s="54"/>
      <c r="L233" s="54"/>
      <c r="M233" s="54"/>
      <c r="N233" s="54"/>
      <c r="O233" s="54"/>
      <c r="P233" s="54"/>
      <c r="Q233" s="54"/>
      <c r="R233" s="54"/>
      <c r="S233" s="54"/>
      <c r="T233" s="54"/>
      <c r="U233" s="54"/>
      <c r="V233" s="54"/>
      <c r="W233" s="54"/>
      <c r="X233" s="54"/>
    </row>
    <row r="234" spans="1:24" customFormat="1" ht="12.75" customHeight="1" x14ac:dyDescent="0.2">
      <c r="A234" s="58" t="s">
        <v>2399</v>
      </c>
      <c r="B234" s="53" t="s">
        <v>2400</v>
      </c>
      <c r="C234" s="59" t="s">
        <v>2399</v>
      </c>
      <c r="D234" s="271">
        <f>SUM(D235:D236)</f>
        <v>0</v>
      </c>
      <c r="E234" s="271">
        <f>SUM(E235:E236)</f>
        <v>0</v>
      </c>
      <c r="F234" s="60" t="str">
        <f t="shared" si="7"/>
        <v>-</v>
      </c>
      <c r="G234" s="54"/>
      <c r="H234" s="54"/>
      <c r="I234" s="54"/>
      <c r="J234" s="54"/>
      <c r="K234" s="54"/>
      <c r="L234" s="54"/>
      <c r="M234" s="54"/>
      <c r="N234" s="54"/>
      <c r="O234" s="54"/>
      <c r="P234" s="54"/>
      <c r="Q234" s="54"/>
      <c r="R234" s="54"/>
      <c r="S234" s="54"/>
      <c r="T234" s="54"/>
      <c r="U234" s="54"/>
      <c r="V234" s="54"/>
      <c r="W234" s="54"/>
      <c r="X234" s="54"/>
    </row>
    <row r="235" spans="1:24" customFormat="1" ht="12.75" customHeight="1" x14ac:dyDescent="0.2">
      <c r="A235" s="58" t="s">
        <v>2401</v>
      </c>
      <c r="B235" s="53" t="s">
        <v>2402</v>
      </c>
      <c r="C235" s="59" t="s">
        <v>2401</v>
      </c>
      <c r="D235" s="272">
        <v>0</v>
      </c>
      <c r="E235" s="272">
        <v>0</v>
      </c>
      <c r="F235" s="60" t="str">
        <f t="shared" si="7"/>
        <v>-</v>
      </c>
      <c r="G235" s="54"/>
      <c r="H235" s="54"/>
      <c r="I235" s="54"/>
      <c r="J235" s="54"/>
      <c r="K235" s="54"/>
      <c r="L235" s="54"/>
      <c r="M235" s="54"/>
      <c r="N235" s="54"/>
      <c r="O235" s="54"/>
      <c r="P235" s="54"/>
      <c r="Q235" s="54"/>
      <c r="R235" s="54"/>
      <c r="S235" s="54"/>
      <c r="T235" s="54"/>
      <c r="U235" s="54"/>
      <c r="V235" s="54"/>
      <c r="W235" s="54"/>
      <c r="X235" s="54"/>
    </row>
    <row r="236" spans="1:24" customFormat="1" ht="12.75" customHeight="1" x14ac:dyDescent="0.2">
      <c r="A236" s="58" t="s">
        <v>2403</v>
      </c>
      <c r="B236" s="53" t="s">
        <v>2404</v>
      </c>
      <c r="C236" s="59" t="s">
        <v>2403</v>
      </c>
      <c r="D236" s="272">
        <v>0</v>
      </c>
      <c r="E236" s="272">
        <v>0</v>
      </c>
      <c r="F236" s="60" t="str">
        <f t="shared" si="7"/>
        <v>-</v>
      </c>
      <c r="G236" s="54"/>
      <c r="H236" s="54"/>
      <c r="I236" s="54"/>
      <c r="J236" s="54"/>
      <c r="K236" s="54"/>
      <c r="L236" s="54"/>
      <c r="M236" s="54"/>
      <c r="N236" s="54"/>
      <c r="O236" s="54"/>
      <c r="P236" s="54"/>
      <c r="Q236" s="54"/>
      <c r="R236" s="54"/>
      <c r="S236" s="54"/>
      <c r="T236" s="54"/>
      <c r="U236" s="54"/>
      <c r="V236" s="54"/>
      <c r="W236" s="54"/>
      <c r="X236" s="54"/>
    </row>
    <row r="237" spans="1:24" customFormat="1" ht="12.75" customHeight="1" x14ac:dyDescent="0.2">
      <c r="A237" s="58" t="s">
        <v>2405</v>
      </c>
      <c r="B237" s="53" t="s">
        <v>2406</v>
      </c>
      <c r="C237" s="59" t="s">
        <v>2405</v>
      </c>
      <c r="D237" s="271">
        <f>+D238+D245-D254+SUM(D255:D257)</f>
        <v>3344670.1</v>
      </c>
      <c r="E237" s="271">
        <f>+E238+E245-E254+SUM(E255:E257)</f>
        <v>3573788.51</v>
      </c>
      <c r="F237" s="60">
        <f t="shared" si="7"/>
        <v>106.85025437934819</v>
      </c>
      <c r="G237" s="54"/>
      <c r="H237" s="54"/>
      <c r="I237" s="54"/>
      <c r="J237" s="54"/>
      <c r="K237" s="54"/>
      <c r="L237" s="54"/>
      <c r="M237" s="54"/>
      <c r="N237" s="54"/>
      <c r="O237" s="54"/>
      <c r="P237" s="54"/>
      <c r="Q237" s="54"/>
      <c r="R237" s="54"/>
      <c r="S237" s="54"/>
      <c r="T237" s="54"/>
      <c r="U237" s="54"/>
      <c r="V237" s="54"/>
      <c r="W237" s="54"/>
      <c r="X237" s="54"/>
    </row>
    <row r="238" spans="1:24" customFormat="1" ht="12.75" customHeight="1" x14ac:dyDescent="0.2">
      <c r="A238" s="58" t="s">
        <v>2407</v>
      </c>
      <c r="B238" s="53" t="s">
        <v>2408</v>
      </c>
      <c r="C238" s="59" t="s">
        <v>2407</v>
      </c>
      <c r="D238" s="271">
        <f>D239-D242</f>
        <v>2781102.58</v>
      </c>
      <c r="E238" s="271">
        <f>E239-E242</f>
        <v>3158590.8200000003</v>
      </c>
      <c r="F238" s="60">
        <f t="shared" si="7"/>
        <v>113.57333033001611</v>
      </c>
      <c r="G238" s="54"/>
      <c r="H238" s="54"/>
      <c r="I238" s="54"/>
      <c r="J238" s="54"/>
      <c r="K238" s="54"/>
      <c r="L238" s="54"/>
      <c r="M238" s="54"/>
      <c r="N238" s="54"/>
      <c r="O238" s="54"/>
      <c r="P238" s="54"/>
      <c r="Q238" s="54"/>
      <c r="R238" s="54"/>
      <c r="S238" s="54"/>
      <c r="T238" s="54"/>
      <c r="U238" s="54"/>
      <c r="V238" s="54"/>
      <c r="W238" s="54"/>
      <c r="X238" s="54"/>
    </row>
    <row r="239" spans="1:24" customFormat="1" ht="12.75" customHeight="1" x14ac:dyDescent="0.2">
      <c r="A239" s="58" t="s">
        <v>2409</v>
      </c>
      <c r="B239" s="53" t="s">
        <v>2410</v>
      </c>
      <c r="C239" s="59" t="s">
        <v>2409</v>
      </c>
      <c r="D239" s="271">
        <f>SUM(D240:D241)</f>
        <v>2789524.4</v>
      </c>
      <c r="E239" s="271">
        <f>SUM(E240:E241)</f>
        <v>3499506.64</v>
      </c>
      <c r="F239" s="60">
        <f t="shared" ref="F239:F260" si="8">IF(D239&gt;0,IF(E239/D239&gt;=100,"&gt;&gt;100",E239/D239*100),"-")</f>
        <v>125.45173076815533</v>
      </c>
      <c r="G239" s="54"/>
      <c r="H239" s="54"/>
      <c r="I239" s="54"/>
      <c r="J239" s="54"/>
      <c r="K239" s="54"/>
      <c r="L239" s="54"/>
      <c r="M239" s="54"/>
      <c r="N239" s="54"/>
      <c r="O239" s="54"/>
      <c r="P239" s="54"/>
      <c r="Q239" s="54"/>
      <c r="R239" s="54"/>
      <c r="S239" s="54"/>
      <c r="T239" s="54"/>
      <c r="U239" s="54"/>
      <c r="V239" s="54"/>
      <c r="W239" s="54"/>
      <c r="X239" s="54"/>
    </row>
    <row r="240" spans="1:24" customFormat="1" ht="12.75" customHeight="1" x14ac:dyDescent="0.2">
      <c r="A240" s="58" t="s">
        <v>2411</v>
      </c>
      <c r="B240" s="53" t="s">
        <v>2412</v>
      </c>
      <c r="C240" s="59" t="s">
        <v>2411</v>
      </c>
      <c r="D240" s="272">
        <v>2758759.25</v>
      </c>
      <c r="E240" s="272">
        <v>3468752.15</v>
      </c>
      <c r="F240" s="60">
        <f t="shared" si="8"/>
        <v>125.73594995648858</v>
      </c>
      <c r="G240" s="54"/>
      <c r="H240" s="54"/>
      <c r="I240" s="54"/>
      <c r="J240" s="54"/>
      <c r="K240" s="54"/>
      <c r="L240" s="54"/>
      <c r="M240" s="54"/>
      <c r="N240" s="54"/>
      <c r="O240" s="54"/>
      <c r="P240" s="54"/>
      <c r="Q240" s="54"/>
      <c r="R240" s="54"/>
      <c r="S240" s="54"/>
      <c r="T240" s="54"/>
      <c r="U240" s="54"/>
      <c r="V240" s="54"/>
      <c r="W240" s="54"/>
      <c r="X240" s="54"/>
    </row>
    <row r="241" spans="1:24" customFormat="1" ht="12.75" customHeight="1" x14ac:dyDescent="0.2">
      <c r="A241" s="58" t="s">
        <v>2413</v>
      </c>
      <c r="B241" s="53" t="s">
        <v>2414</v>
      </c>
      <c r="C241" s="59" t="s">
        <v>2413</v>
      </c>
      <c r="D241" s="272">
        <v>30765.15</v>
      </c>
      <c r="E241" s="272">
        <v>30754.49</v>
      </c>
      <c r="F241" s="60">
        <f t="shared" si="8"/>
        <v>99.965350404597402</v>
      </c>
      <c r="G241" s="54"/>
      <c r="H241" s="54"/>
      <c r="I241" s="54"/>
      <c r="J241" s="54"/>
      <c r="K241" s="54"/>
      <c r="L241" s="54"/>
      <c r="M241" s="54"/>
      <c r="N241" s="54"/>
      <c r="O241" s="54"/>
      <c r="P241" s="54"/>
      <c r="Q241" s="54"/>
      <c r="R241" s="54"/>
      <c r="S241" s="54"/>
      <c r="T241" s="54"/>
      <c r="U241" s="54"/>
      <c r="V241" s="54"/>
      <c r="W241" s="54"/>
      <c r="X241" s="54"/>
    </row>
    <row r="242" spans="1:24" customFormat="1" ht="12.75" customHeight="1" x14ac:dyDescent="0.2">
      <c r="A242" s="58" t="s">
        <v>2415</v>
      </c>
      <c r="B242" s="53" t="s">
        <v>2416</v>
      </c>
      <c r="C242" s="59" t="s">
        <v>2415</v>
      </c>
      <c r="D242" s="271">
        <f>SUM(D243:D244)</f>
        <v>8421.82</v>
      </c>
      <c r="E242" s="271">
        <f>SUM(E243:E244)</f>
        <v>340915.82</v>
      </c>
      <c r="F242" s="60">
        <f t="shared" si="8"/>
        <v>4048.0064879087899</v>
      </c>
      <c r="G242" s="54"/>
      <c r="H242" s="54"/>
      <c r="I242" s="54"/>
      <c r="J242" s="54"/>
      <c r="K242" s="54"/>
      <c r="L242" s="54"/>
      <c r="M242" s="54"/>
      <c r="N242" s="54"/>
      <c r="O242" s="54"/>
      <c r="P242" s="54"/>
      <c r="Q242" s="54"/>
      <c r="R242" s="54"/>
      <c r="S242" s="54"/>
      <c r="T242" s="54"/>
      <c r="U242" s="54"/>
      <c r="V242" s="54"/>
      <c r="W242" s="54"/>
      <c r="X242" s="54"/>
    </row>
    <row r="243" spans="1:24" customFormat="1" ht="12.75" customHeight="1" x14ac:dyDescent="0.2">
      <c r="A243" s="58" t="s">
        <v>2417</v>
      </c>
      <c r="B243" s="53" t="s">
        <v>2418</v>
      </c>
      <c r="C243" s="59" t="s">
        <v>2417</v>
      </c>
      <c r="D243" s="272">
        <v>8421.82</v>
      </c>
      <c r="E243" s="272">
        <v>340915.82</v>
      </c>
      <c r="F243" s="60">
        <f t="shared" si="8"/>
        <v>4048.0064879087899</v>
      </c>
      <c r="G243" s="54"/>
      <c r="H243" s="54"/>
      <c r="I243" s="54"/>
      <c r="J243" s="54"/>
      <c r="K243" s="54"/>
      <c r="L243" s="54"/>
      <c r="M243" s="54"/>
      <c r="N243" s="54"/>
      <c r="O243" s="54"/>
      <c r="P243" s="54"/>
      <c r="Q243" s="54"/>
      <c r="R243" s="54"/>
      <c r="S243" s="54"/>
      <c r="T243" s="54"/>
      <c r="U243" s="54"/>
      <c r="V243" s="54"/>
      <c r="W243" s="54"/>
      <c r="X243" s="54"/>
    </row>
    <row r="244" spans="1:24" customFormat="1" ht="12.75" customHeight="1" x14ac:dyDescent="0.2">
      <c r="A244" s="58" t="s">
        <v>2419</v>
      </c>
      <c r="B244" s="53" t="s">
        <v>2420</v>
      </c>
      <c r="C244" s="59" t="s">
        <v>2419</v>
      </c>
      <c r="D244" s="272">
        <v>0</v>
      </c>
      <c r="E244" s="272">
        <v>0</v>
      </c>
      <c r="F244" s="60" t="str">
        <f t="shared" si="8"/>
        <v>-</v>
      </c>
      <c r="G244" s="54"/>
      <c r="H244" s="54"/>
      <c r="I244" s="54"/>
      <c r="J244" s="54"/>
      <c r="K244" s="54"/>
      <c r="L244" s="54"/>
      <c r="M244" s="54"/>
      <c r="N244" s="54"/>
      <c r="O244" s="54"/>
      <c r="P244" s="54"/>
      <c r="Q244" s="54"/>
      <c r="R244" s="54"/>
      <c r="S244" s="54"/>
      <c r="T244" s="54"/>
      <c r="U244" s="54"/>
      <c r="V244" s="54"/>
      <c r="W244" s="54"/>
      <c r="X244" s="54"/>
    </row>
    <row r="245" spans="1:24" customFormat="1" ht="12.75" customHeight="1" x14ac:dyDescent="0.2">
      <c r="A245" s="58" t="s">
        <v>2421</v>
      </c>
      <c r="B245" s="53" t="s">
        <v>2422</v>
      </c>
      <c r="C245" s="59" t="s">
        <v>2421</v>
      </c>
      <c r="D245" s="271">
        <f>D246-D250</f>
        <v>549145.44999999995</v>
      </c>
      <c r="E245" s="271">
        <f>E246-E250</f>
        <v>400757.67999999993</v>
      </c>
      <c r="F245" s="60">
        <f t="shared" si="8"/>
        <v>72.978421290752749</v>
      </c>
      <c r="G245" s="54"/>
      <c r="H245" s="54"/>
      <c r="I245" s="54"/>
      <c r="J245" s="54"/>
      <c r="K245" s="54"/>
      <c r="L245" s="54"/>
      <c r="M245" s="54"/>
      <c r="N245" s="54"/>
      <c r="O245" s="54"/>
      <c r="P245" s="54"/>
      <c r="Q245" s="54"/>
      <c r="R245" s="54"/>
      <c r="S245" s="54"/>
      <c r="T245" s="54"/>
      <c r="U245" s="54"/>
      <c r="V245" s="54"/>
      <c r="W245" s="54"/>
      <c r="X245" s="54"/>
    </row>
    <row r="246" spans="1:24" customFormat="1" ht="12.75" customHeight="1" x14ac:dyDescent="0.2">
      <c r="A246" s="58" t="s">
        <v>2423</v>
      </c>
      <c r="B246" s="53" t="s">
        <v>2424</v>
      </c>
      <c r="C246" s="59" t="s">
        <v>2423</v>
      </c>
      <c r="D246" s="271">
        <f>SUM(D247:D249)</f>
        <v>556219.47</v>
      </c>
      <c r="E246" s="271">
        <f>SUM(E247:E249)</f>
        <v>1038853.4299999999</v>
      </c>
      <c r="F246" s="60">
        <f t="shared" si="8"/>
        <v>186.77041815886093</v>
      </c>
      <c r="G246" s="54"/>
      <c r="H246" s="54"/>
      <c r="I246" s="54"/>
      <c r="J246" s="54"/>
      <c r="K246" s="54"/>
      <c r="L246" s="54"/>
      <c r="M246" s="54"/>
      <c r="N246" s="54"/>
      <c r="O246" s="54"/>
      <c r="P246" s="54"/>
      <c r="Q246" s="54"/>
      <c r="R246" s="54"/>
      <c r="S246" s="54"/>
      <c r="T246" s="54"/>
      <c r="U246" s="54"/>
      <c r="V246" s="54"/>
      <c r="W246" s="54"/>
      <c r="X246" s="54"/>
    </row>
    <row r="247" spans="1:24" customFormat="1" ht="12.75" customHeight="1" x14ac:dyDescent="0.2">
      <c r="A247" s="58" t="s">
        <v>623</v>
      </c>
      <c r="B247" s="53" t="s">
        <v>2425</v>
      </c>
      <c r="C247" s="59" t="s">
        <v>623</v>
      </c>
      <c r="D247" s="272">
        <v>553826.25</v>
      </c>
      <c r="E247" s="272">
        <v>706359.45</v>
      </c>
      <c r="F247" s="60">
        <f t="shared" si="8"/>
        <v>127.5417064467421</v>
      </c>
      <c r="G247" s="54"/>
      <c r="H247" s="54"/>
      <c r="I247" s="54"/>
      <c r="J247" s="54"/>
      <c r="K247" s="54"/>
      <c r="L247" s="54"/>
      <c r="M247" s="54"/>
      <c r="N247" s="54"/>
      <c r="O247" s="54"/>
      <c r="P247" s="54"/>
      <c r="Q247" s="54"/>
      <c r="R247" s="54"/>
      <c r="S247" s="54"/>
      <c r="T247" s="54"/>
      <c r="U247" s="54"/>
      <c r="V247" s="54"/>
      <c r="W247" s="54"/>
      <c r="X247" s="54"/>
    </row>
    <row r="248" spans="1:24" customFormat="1" ht="12.75" customHeight="1" x14ac:dyDescent="0.2">
      <c r="A248" s="58" t="s">
        <v>823</v>
      </c>
      <c r="B248" s="53" t="s">
        <v>2426</v>
      </c>
      <c r="C248" s="59" t="s">
        <v>823</v>
      </c>
      <c r="D248" s="272">
        <v>2393.2199999999998</v>
      </c>
      <c r="E248" s="272">
        <v>0</v>
      </c>
      <c r="F248" s="60">
        <f t="shared" si="8"/>
        <v>0</v>
      </c>
      <c r="G248" s="54"/>
      <c r="H248" s="54"/>
      <c r="I248" s="54"/>
      <c r="J248" s="54"/>
      <c r="K248" s="54"/>
      <c r="L248" s="54"/>
      <c r="M248" s="54"/>
      <c r="N248" s="54"/>
      <c r="O248" s="54"/>
      <c r="P248" s="54"/>
      <c r="Q248" s="54"/>
      <c r="R248" s="54"/>
      <c r="S248" s="54"/>
      <c r="T248" s="54"/>
      <c r="U248" s="54"/>
      <c r="V248" s="54"/>
      <c r="W248" s="54"/>
      <c r="X248" s="54"/>
    </row>
    <row r="249" spans="1:24" customFormat="1" ht="12.75" customHeight="1" x14ac:dyDescent="0.2">
      <c r="A249" s="58" t="s">
        <v>1271</v>
      </c>
      <c r="B249" s="53" t="s">
        <v>2427</v>
      </c>
      <c r="C249" s="59" t="s">
        <v>1271</v>
      </c>
      <c r="D249" s="272">
        <v>0</v>
      </c>
      <c r="E249" s="272">
        <v>332493.98</v>
      </c>
      <c r="F249" s="60" t="str">
        <f t="shared" si="8"/>
        <v>-</v>
      </c>
      <c r="G249" s="54"/>
      <c r="H249" s="54"/>
      <c r="I249" s="54"/>
      <c r="J249" s="54"/>
      <c r="K249" s="54"/>
      <c r="L249" s="54"/>
      <c r="M249" s="54"/>
      <c r="N249" s="54"/>
      <c r="O249" s="54"/>
      <c r="P249" s="54"/>
      <c r="Q249" s="54"/>
      <c r="R249" s="54"/>
      <c r="S249" s="54"/>
      <c r="T249" s="54"/>
      <c r="U249" s="54"/>
      <c r="V249" s="54"/>
      <c r="W249" s="54"/>
      <c r="X249" s="54"/>
    </row>
    <row r="250" spans="1:24" customFormat="1" ht="12.75" customHeight="1" x14ac:dyDescent="0.2">
      <c r="A250" s="58" t="s">
        <v>2428</v>
      </c>
      <c r="B250" s="53" t="s">
        <v>2429</v>
      </c>
      <c r="C250" s="59" t="s">
        <v>2428</v>
      </c>
      <c r="D250" s="271">
        <f>SUM(D251:D253)</f>
        <v>7074.02</v>
      </c>
      <c r="E250" s="271">
        <f>SUM(E251:E253)</f>
        <v>638095.75</v>
      </c>
      <c r="F250" s="60">
        <f t="shared" si="8"/>
        <v>9020.2706523306406</v>
      </c>
      <c r="G250" s="54"/>
      <c r="H250" s="54"/>
      <c r="I250" s="54"/>
      <c r="J250" s="54"/>
      <c r="K250" s="54"/>
      <c r="L250" s="54"/>
      <c r="M250" s="54"/>
      <c r="N250" s="54"/>
      <c r="O250" s="54"/>
      <c r="P250" s="54"/>
      <c r="Q250" s="54"/>
      <c r="R250" s="54"/>
      <c r="S250" s="54"/>
      <c r="T250" s="54"/>
      <c r="U250" s="54"/>
      <c r="V250" s="54"/>
      <c r="W250" s="54"/>
      <c r="X250" s="54"/>
    </row>
    <row r="251" spans="1:24" customFormat="1" ht="12.75" customHeight="1" x14ac:dyDescent="0.2">
      <c r="A251" s="58" t="s">
        <v>625</v>
      </c>
      <c r="B251" s="53" t="s">
        <v>2430</v>
      </c>
      <c r="C251" s="59" t="s">
        <v>625</v>
      </c>
      <c r="D251" s="272">
        <v>0</v>
      </c>
      <c r="E251" s="272">
        <v>0</v>
      </c>
      <c r="F251" s="60" t="str">
        <f t="shared" si="8"/>
        <v>-</v>
      </c>
      <c r="G251" s="54"/>
      <c r="H251" s="54"/>
      <c r="I251" s="54"/>
      <c r="J251" s="54"/>
      <c r="K251" s="54"/>
      <c r="L251" s="54"/>
      <c r="M251" s="54"/>
      <c r="N251" s="54"/>
      <c r="O251" s="54"/>
      <c r="P251" s="54"/>
      <c r="Q251" s="54"/>
      <c r="R251" s="54"/>
      <c r="S251" s="54"/>
      <c r="T251" s="54"/>
      <c r="U251" s="54"/>
      <c r="V251" s="54"/>
      <c r="W251" s="54"/>
      <c r="X251" s="54"/>
    </row>
    <row r="252" spans="1:24" customFormat="1" ht="12.75" customHeight="1" x14ac:dyDescent="0.2">
      <c r="A252" s="58" t="s">
        <v>825</v>
      </c>
      <c r="B252" s="53" t="s">
        <v>2431</v>
      </c>
      <c r="C252" s="59" t="s">
        <v>825</v>
      </c>
      <c r="D252" s="272">
        <v>0</v>
      </c>
      <c r="E252" s="272">
        <v>638095.75</v>
      </c>
      <c r="F252" s="60" t="str">
        <f t="shared" si="8"/>
        <v>-</v>
      </c>
      <c r="G252" s="54"/>
      <c r="H252" s="54"/>
      <c r="I252" s="54"/>
      <c r="J252" s="54"/>
      <c r="K252" s="54"/>
      <c r="L252" s="54"/>
      <c r="M252" s="54"/>
      <c r="N252" s="54"/>
      <c r="O252" s="54"/>
      <c r="P252" s="54"/>
      <c r="Q252" s="54"/>
      <c r="R252" s="54"/>
      <c r="S252" s="54"/>
      <c r="T252" s="54"/>
      <c r="U252" s="54"/>
      <c r="V252" s="54"/>
      <c r="W252" s="54"/>
      <c r="X252" s="54"/>
    </row>
    <row r="253" spans="1:24" customFormat="1" ht="12.75" customHeight="1" x14ac:dyDescent="0.2">
      <c r="A253" s="58" t="s">
        <v>1273</v>
      </c>
      <c r="B253" s="53" t="s">
        <v>2432</v>
      </c>
      <c r="C253" s="59" t="s">
        <v>1273</v>
      </c>
      <c r="D253" s="272">
        <v>7074.02</v>
      </c>
      <c r="E253" s="272">
        <v>0</v>
      </c>
      <c r="F253" s="60">
        <f t="shared" si="8"/>
        <v>0</v>
      </c>
      <c r="G253" s="54"/>
      <c r="H253" s="54"/>
      <c r="I253" s="54"/>
      <c r="J253" s="54"/>
      <c r="K253" s="54"/>
      <c r="L253" s="54"/>
      <c r="M253" s="54"/>
      <c r="N253" s="54"/>
      <c r="O253" s="54"/>
      <c r="P253" s="54"/>
      <c r="Q253" s="54"/>
      <c r="R253" s="54"/>
      <c r="S253" s="54"/>
      <c r="T253" s="54"/>
      <c r="U253" s="54"/>
      <c r="V253" s="54"/>
      <c r="W253" s="54"/>
      <c r="X253" s="54"/>
    </row>
    <row r="254" spans="1:24" customFormat="1" ht="12.75" customHeight="1" x14ac:dyDescent="0.2">
      <c r="A254" s="58" t="s">
        <v>2433</v>
      </c>
      <c r="B254" s="53" t="s">
        <v>2434</v>
      </c>
      <c r="C254" s="59" t="s">
        <v>2433</v>
      </c>
      <c r="D254" s="272">
        <v>0</v>
      </c>
      <c r="E254" s="272">
        <v>0</v>
      </c>
      <c r="F254" s="60" t="str">
        <f t="shared" si="8"/>
        <v>-</v>
      </c>
      <c r="G254" s="54"/>
      <c r="H254" s="54"/>
      <c r="I254" s="54"/>
      <c r="J254" s="54"/>
      <c r="K254" s="54"/>
      <c r="L254" s="54"/>
      <c r="M254" s="54"/>
      <c r="N254" s="54"/>
      <c r="O254" s="54"/>
      <c r="P254" s="54"/>
      <c r="Q254" s="54"/>
      <c r="R254" s="54"/>
      <c r="S254" s="54"/>
      <c r="T254" s="54"/>
      <c r="U254" s="54"/>
      <c r="V254" s="54"/>
      <c r="W254" s="54"/>
      <c r="X254" s="54"/>
    </row>
    <row r="255" spans="1:24" customFormat="1" ht="12.75" customHeight="1" x14ac:dyDescent="0.2">
      <c r="A255" s="58" t="s">
        <v>627</v>
      </c>
      <c r="B255" s="53" t="s">
        <v>2435</v>
      </c>
      <c r="C255" s="59" t="s">
        <v>627</v>
      </c>
      <c r="D255" s="272">
        <v>10971.27</v>
      </c>
      <c r="E255" s="272">
        <v>12714.61</v>
      </c>
      <c r="F255" s="60">
        <f t="shared" si="8"/>
        <v>115.89004736917421</v>
      </c>
      <c r="G255" s="54"/>
      <c r="H255" s="54"/>
      <c r="I255" s="54"/>
      <c r="J255" s="54"/>
      <c r="K255" s="54"/>
      <c r="L255" s="54"/>
      <c r="M255" s="54"/>
      <c r="N255" s="54"/>
      <c r="O255" s="54"/>
      <c r="P255" s="54"/>
      <c r="Q255" s="54"/>
      <c r="R255" s="54"/>
      <c r="S255" s="54"/>
      <c r="T255" s="54"/>
      <c r="U255" s="54"/>
      <c r="V255" s="54"/>
      <c r="W255" s="54"/>
      <c r="X255" s="54"/>
    </row>
    <row r="256" spans="1:24" customFormat="1" ht="12.75" customHeight="1" x14ac:dyDescent="0.2">
      <c r="A256" s="58" t="s">
        <v>827</v>
      </c>
      <c r="B256" s="53" t="s">
        <v>2436</v>
      </c>
      <c r="C256" s="59" t="s">
        <v>827</v>
      </c>
      <c r="D256" s="272">
        <v>3450.8</v>
      </c>
      <c r="E256" s="272">
        <v>1725.4</v>
      </c>
      <c r="F256" s="60">
        <f t="shared" si="8"/>
        <v>50</v>
      </c>
      <c r="G256" s="54"/>
      <c r="H256" s="54"/>
      <c r="I256" s="54"/>
      <c r="J256" s="54"/>
      <c r="K256" s="54"/>
      <c r="L256" s="54"/>
      <c r="M256" s="54"/>
      <c r="N256" s="54"/>
      <c r="O256" s="54"/>
      <c r="P256" s="54"/>
      <c r="Q256" s="54"/>
      <c r="R256" s="54"/>
      <c r="S256" s="54"/>
      <c r="T256" s="54"/>
      <c r="U256" s="54"/>
      <c r="V256" s="54"/>
      <c r="W256" s="54"/>
      <c r="X256" s="54"/>
    </row>
    <row r="257" spans="1:24" customFormat="1" ht="12.75" customHeight="1" x14ac:dyDescent="0.2">
      <c r="A257" s="58" t="s">
        <v>2437</v>
      </c>
      <c r="B257" s="53" t="s">
        <v>2438</v>
      </c>
      <c r="C257" s="59" t="s">
        <v>2437</v>
      </c>
      <c r="D257" s="272">
        <v>0</v>
      </c>
      <c r="E257" s="272">
        <v>0</v>
      </c>
      <c r="F257" s="60" t="str">
        <f t="shared" si="8"/>
        <v>-</v>
      </c>
      <c r="G257" s="54"/>
      <c r="H257" s="54"/>
      <c r="I257" s="54"/>
      <c r="J257" s="54"/>
      <c r="K257" s="54"/>
      <c r="L257" s="54"/>
      <c r="M257" s="54"/>
      <c r="N257" s="54"/>
      <c r="O257" s="54"/>
      <c r="P257" s="54"/>
      <c r="Q257" s="54"/>
      <c r="R257" s="54"/>
      <c r="S257" s="54"/>
      <c r="T257" s="54"/>
      <c r="U257" s="54"/>
      <c r="V257" s="54"/>
      <c r="W257" s="54"/>
      <c r="X257" s="54"/>
    </row>
    <row r="258" spans="1:24" customFormat="1" ht="12.75" customHeight="1" x14ac:dyDescent="0.2">
      <c r="A258" s="58" t="s">
        <v>2439</v>
      </c>
      <c r="B258" s="53" t="s">
        <v>2440</v>
      </c>
      <c r="C258" s="59" t="s">
        <v>2439</v>
      </c>
      <c r="D258" s="271">
        <v>0</v>
      </c>
      <c r="E258" s="271">
        <v>0</v>
      </c>
      <c r="F258" s="60" t="str">
        <f t="shared" si="8"/>
        <v>-</v>
      </c>
      <c r="G258" s="54"/>
      <c r="H258" s="54"/>
      <c r="I258" s="54"/>
      <c r="J258" s="54"/>
      <c r="K258" s="54"/>
      <c r="L258" s="54"/>
      <c r="M258" s="54"/>
      <c r="N258" s="54"/>
      <c r="O258" s="54"/>
      <c r="P258" s="54"/>
      <c r="Q258" s="54"/>
      <c r="R258" s="54"/>
      <c r="S258" s="54"/>
      <c r="T258" s="54"/>
      <c r="U258" s="54"/>
      <c r="V258" s="54"/>
      <c r="W258" s="54"/>
      <c r="X258" s="54"/>
    </row>
    <row r="259" spans="1:24" customFormat="1" ht="12.75" customHeight="1" x14ac:dyDescent="0.2">
      <c r="A259" s="58" t="s">
        <v>2441</v>
      </c>
      <c r="B259" s="53" t="s">
        <v>2442</v>
      </c>
      <c r="C259" s="59" t="s">
        <v>2441</v>
      </c>
      <c r="D259" s="271">
        <f>D260</f>
        <v>756941.57</v>
      </c>
      <c r="E259" s="271">
        <f>E260</f>
        <v>2189245.2799999998</v>
      </c>
      <c r="F259" s="60">
        <f t="shared" si="8"/>
        <v>289.22249309150772</v>
      </c>
      <c r="G259" s="54"/>
      <c r="H259" s="54"/>
      <c r="I259" s="54"/>
      <c r="J259" s="54"/>
      <c r="K259" s="54"/>
      <c r="L259" s="54"/>
      <c r="M259" s="54"/>
      <c r="N259" s="54"/>
      <c r="O259" s="54"/>
      <c r="P259" s="54"/>
      <c r="Q259" s="54"/>
      <c r="R259" s="54"/>
      <c r="S259" s="54"/>
      <c r="T259" s="54"/>
      <c r="U259" s="54"/>
      <c r="V259" s="54"/>
      <c r="W259" s="54"/>
      <c r="X259" s="54"/>
    </row>
    <row r="260" spans="1:24" customFormat="1" ht="12.75" customHeight="1" x14ac:dyDescent="0.2">
      <c r="A260" s="62" t="s">
        <v>2443</v>
      </c>
      <c r="B260" s="63" t="s">
        <v>2444</v>
      </c>
      <c r="C260" s="59" t="s">
        <v>2443</v>
      </c>
      <c r="D260" s="273">
        <v>756941.57</v>
      </c>
      <c r="E260" s="273">
        <v>2189245.2799999998</v>
      </c>
      <c r="F260" s="64">
        <f t="shared" si="8"/>
        <v>289.22249309150772</v>
      </c>
      <c r="G260" s="54"/>
      <c r="H260" s="54"/>
      <c r="I260" s="54"/>
      <c r="J260" s="54"/>
      <c r="K260" s="54"/>
      <c r="L260" s="54"/>
      <c r="M260" s="54"/>
      <c r="N260" s="54"/>
      <c r="O260" s="54"/>
      <c r="P260" s="54"/>
      <c r="Q260" s="54"/>
      <c r="R260" s="54"/>
      <c r="S260" s="54"/>
      <c r="T260" s="54"/>
      <c r="U260" s="54"/>
      <c r="V260" s="54"/>
      <c r="W260" s="54"/>
      <c r="X260" s="54"/>
    </row>
    <row r="261" spans="1:24" customFormat="1" ht="20.100000000000001" customHeight="1" x14ac:dyDescent="0.2">
      <c r="A261" s="331" t="s">
        <v>1293</v>
      </c>
      <c r="B261" s="332"/>
      <c r="C261" s="65"/>
      <c r="D261" s="274"/>
      <c r="E261" s="275"/>
      <c r="F261" s="66"/>
      <c r="G261" s="54"/>
      <c r="H261" s="54"/>
      <c r="I261" s="54"/>
      <c r="J261" s="54"/>
      <c r="K261" s="54"/>
      <c r="L261" s="54"/>
      <c r="M261" s="54"/>
      <c r="N261" s="54"/>
      <c r="O261" s="54"/>
      <c r="P261" s="54"/>
      <c r="Q261" s="54"/>
      <c r="R261" s="54"/>
      <c r="S261" s="54"/>
      <c r="T261" s="54"/>
      <c r="U261" s="54"/>
      <c r="V261" s="54"/>
      <c r="W261" s="54"/>
      <c r="X261" s="54"/>
    </row>
    <row r="262" spans="1:24" customFormat="1" ht="12.75" customHeight="1" x14ac:dyDescent="0.2">
      <c r="A262" s="58" t="s">
        <v>2445</v>
      </c>
      <c r="B262" s="53" t="s">
        <v>2446</v>
      </c>
      <c r="C262" s="59" t="s">
        <v>2447</v>
      </c>
      <c r="D262" s="272">
        <v>0</v>
      </c>
      <c r="E262" s="272">
        <v>0</v>
      </c>
      <c r="F262" s="60" t="str">
        <f t="shared" ref="F262:F293" si="9">IF(D262&gt;0,IF(E262/D262&gt;=100,"&gt;&gt;100",E262/D262*100),"-")</f>
        <v>-</v>
      </c>
      <c r="G262" s="54"/>
      <c r="H262" s="54"/>
      <c r="I262" s="54"/>
      <c r="J262" s="54"/>
      <c r="K262" s="54"/>
      <c r="L262" s="54"/>
      <c r="M262" s="54"/>
      <c r="N262" s="54"/>
      <c r="O262" s="54"/>
      <c r="P262" s="54"/>
      <c r="Q262" s="54"/>
      <c r="R262" s="54"/>
      <c r="S262" s="54"/>
      <c r="T262" s="54"/>
      <c r="U262" s="54"/>
      <c r="V262" s="54"/>
      <c r="W262" s="54"/>
      <c r="X262" s="54"/>
    </row>
    <row r="263" spans="1:24" customFormat="1" ht="12.75" customHeight="1" x14ac:dyDescent="0.2">
      <c r="A263" s="58" t="s">
        <v>2445</v>
      </c>
      <c r="B263" s="53" t="s">
        <v>2448</v>
      </c>
      <c r="C263" s="59" t="s">
        <v>2449</v>
      </c>
      <c r="D263" s="272">
        <v>0</v>
      </c>
      <c r="E263" s="272">
        <v>0</v>
      </c>
      <c r="F263" s="60" t="str">
        <f t="shared" si="9"/>
        <v>-</v>
      </c>
      <c r="G263" s="54"/>
      <c r="H263" s="54"/>
      <c r="I263" s="54"/>
      <c r="J263" s="54"/>
      <c r="K263" s="54"/>
      <c r="L263" s="54"/>
      <c r="M263" s="54"/>
      <c r="N263" s="54"/>
      <c r="O263" s="54"/>
      <c r="P263" s="54"/>
      <c r="Q263" s="54"/>
      <c r="R263" s="54"/>
      <c r="S263" s="54"/>
      <c r="T263" s="54"/>
      <c r="U263" s="54"/>
      <c r="V263" s="54"/>
      <c r="W263" s="54"/>
      <c r="X263" s="54"/>
    </row>
    <row r="264" spans="1:24" customFormat="1" ht="12.75" customHeight="1" x14ac:dyDescent="0.2">
      <c r="A264" s="58" t="s">
        <v>2450</v>
      </c>
      <c r="B264" s="53" t="s">
        <v>2451</v>
      </c>
      <c r="C264" s="59" t="s">
        <v>2452</v>
      </c>
      <c r="D264" s="272">
        <v>25753.17</v>
      </c>
      <c r="E264" s="272">
        <v>21463.96</v>
      </c>
      <c r="F264" s="60">
        <f t="shared" si="9"/>
        <v>83.344924139436046</v>
      </c>
      <c r="G264" s="54"/>
      <c r="H264" s="54"/>
      <c r="I264" s="54"/>
      <c r="J264" s="54"/>
      <c r="K264" s="54"/>
      <c r="L264" s="54"/>
      <c r="M264" s="54"/>
      <c r="N264" s="54"/>
      <c r="O264" s="54"/>
      <c r="P264" s="54"/>
      <c r="Q264" s="54"/>
      <c r="R264" s="54"/>
      <c r="S264" s="54"/>
      <c r="T264" s="54"/>
      <c r="U264" s="54"/>
      <c r="V264" s="54"/>
      <c r="W264" s="54"/>
      <c r="X264" s="54"/>
    </row>
    <row r="265" spans="1:24" customFormat="1" ht="12.75" customHeight="1" x14ac:dyDescent="0.2">
      <c r="A265" s="58" t="s">
        <v>2450</v>
      </c>
      <c r="B265" s="53" t="s">
        <v>2453</v>
      </c>
      <c r="C265" s="59" t="s">
        <v>2454</v>
      </c>
      <c r="D265" s="272">
        <v>0</v>
      </c>
      <c r="E265" s="272">
        <v>0</v>
      </c>
      <c r="F265" s="60" t="str">
        <f t="shared" si="9"/>
        <v>-</v>
      </c>
      <c r="G265" s="54"/>
      <c r="H265" s="54"/>
      <c r="I265" s="54"/>
      <c r="J265" s="54"/>
      <c r="K265" s="54"/>
      <c r="L265" s="54"/>
      <c r="M265" s="54"/>
      <c r="N265" s="54"/>
      <c r="O265" s="54"/>
      <c r="P265" s="54"/>
      <c r="Q265" s="54"/>
      <c r="R265" s="54"/>
      <c r="S265" s="54"/>
      <c r="T265" s="54"/>
      <c r="U265" s="54"/>
      <c r="V265" s="54"/>
      <c r="W265" s="54"/>
      <c r="X265" s="54"/>
    </row>
    <row r="266" spans="1:24" customFormat="1" ht="12.75" customHeight="1" x14ac:dyDescent="0.2">
      <c r="A266" s="58" t="s">
        <v>2455</v>
      </c>
      <c r="B266" s="53" t="s">
        <v>2456</v>
      </c>
      <c r="C266" s="59" t="s">
        <v>2457</v>
      </c>
      <c r="D266" s="272">
        <v>0</v>
      </c>
      <c r="E266" s="272">
        <v>0</v>
      </c>
      <c r="F266" s="60" t="str">
        <f t="shared" si="9"/>
        <v>-</v>
      </c>
      <c r="G266" s="54"/>
      <c r="H266" s="54"/>
      <c r="I266" s="54"/>
      <c r="J266" s="54"/>
      <c r="K266" s="54"/>
      <c r="L266" s="54"/>
      <c r="M266" s="54"/>
      <c r="N266" s="54"/>
      <c r="O266" s="54"/>
      <c r="P266" s="54"/>
      <c r="Q266" s="54"/>
      <c r="R266" s="54"/>
      <c r="S266" s="54"/>
      <c r="T266" s="54"/>
      <c r="U266" s="54"/>
      <c r="V266" s="54"/>
      <c r="W266" s="54"/>
      <c r="X266" s="54"/>
    </row>
    <row r="267" spans="1:24" customFormat="1" ht="12.75" customHeight="1" x14ac:dyDescent="0.2">
      <c r="A267" s="58" t="s">
        <v>2455</v>
      </c>
      <c r="B267" s="53" t="s">
        <v>2458</v>
      </c>
      <c r="C267" s="59" t="s">
        <v>2459</v>
      </c>
      <c r="D267" s="272">
        <v>3450.8</v>
      </c>
      <c r="E267" s="272">
        <v>1725.4</v>
      </c>
      <c r="F267" s="60">
        <f t="shared" si="9"/>
        <v>50</v>
      </c>
      <c r="G267" s="54"/>
      <c r="H267" s="54"/>
      <c r="I267" s="54"/>
      <c r="J267" s="54"/>
      <c r="K267" s="54"/>
      <c r="L267" s="54"/>
      <c r="M267" s="54"/>
      <c r="N267" s="54"/>
      <c r="O267" s="54"/>
      <c r="P267" s="54"/>
      <c r="Q267" s="54"/>
      <c r="R267" s="54"/>
      <c r="S267" s="54"/>
      <c r="T267" s="54"/>
      <c r="U267" s="54"/>
      <c r="V267" s="54"/>
      <c r="W267" s="54"/>
      <c r="X267" s="54"/>
    </row>
    <row r="268" spans="1:24" customFormat="1" ht="12.75" customHeight="1" x14ac:dyDescent="0.2">
      <c r="A268" s="58" t="s">
        <v>2460</v>
      </c>
      <c r="B268" s="53" t="s">
        <v>2461</v>
      </c>
      <c r="C268" s="59" t="s">
        <v>2460</v>
      </c>
      <c r="D268" s="272">
        <v>605.80999999999995</v>
      </c>
      <c r="E268" s="272">
        <v>599.01</v>
      </c>
      <c r="F268" s="60">
        <f t="shared" si="9"/>
        <v>98.877535861078556</v>
      </c>
      <c r="G268" s="54"/>
      <c r="H268" s="54"/>
      <c r="I268" s="54"/>
      <c r="J268" s="54"/>
      <c r="K268" s="54"/>
      <c r="L268" s="54"/>
      <c r="M268" s="54"/>
      <c r="N268" s="54"/>
      <c r="O268" s="54"/>
      <c r="P268" s="54"/>
      <c r="Q268" s="54"/>
      <c r="R268" s="54"/>
      <c r="S268" s="54"/>
      <c r="T268" s="54"/>
      <c r="U268" s="54"/>
      <c r="V268" s="54"/>
      <c r="W268" s="54"/>
      <c r="X268" s="54"/>
    </row>
    <row r="269" spans="1:24" customFormat="1" ht="12.75" customHeight="1" x14ac:dyDescent="0.2">
      <c r="A269" s="58" t="s">
        <v>2462</v>
      </c>
      <c r="B269" s="53" t="s">
        <v>2463</v>
      </c>
      <c r="C269" s="59" t="s">
        <v>2462</v>
      </c>
      <c r="D269" s="272">
        <v>0</v>
      </c>
      <c r="E269" s="272">
        <v>0</v>
      </c>
      <c r="F269" s="60" t="str">
        <f t="shared" si="9"/>
        <v>-</v>
      </c>
      <c r="G269" s="54"/>
      <c r="H269" s="54"/>
      <c r="I269" s="54"/>
      <c r="J269" s="54"/>
      <c r="K269" s="54"/>
      <c r="L269" s="54"/>
      <c r="M269" s="54"/>
      <c r="N269" s="54"/>
      <c r="O269" s="54"/>
      <c r="P269" s="54"/>
      <c r="Q269" s="54"/>
      <c r="R269" s="54"/>
      <c r="S269" s="54"/>
      <c r="T269" s="54"/>
      <c r="U269" s="54"/>
      <c r="V269" s="54"/>
      <c r="W269" s="54"/>
      <c r="X269" s="54"/>
    </row>
    <row r="270" spans="1:24" customFormat="1" ht="12.75" customHeight="1" x14ac:dyDescent="0.2">
      <c r="A270" s="58" t="s">
        <v>2464</v>
      </c>
      <c r="B270" s="53" t="s">
        <v>2465</v>
      </c>
      <c r="C270" s="59" t="s">
        <v>2464</v>
      </c>
      <c r="D270" s="272">
        <v>0</v>
      </c>
      <c r="E270" s="272">
        <v>0</v>
      </c>
      <c r="F270" s="60" t="str">
        <f t="shared" si="9"/>
        <v>-</v>
      </c>
      <c r="G270" s="54"/>
      <c r="H270" s="54"/>
      <c r="I270" s="54"/>
      <c r="J270" s="54"/>
      <c r="K270" s="54"/>
      <c r="L270" s="54"/>
      <c r="M270" s="54"/>
      <c r="N270" s="54"/>
      <c r="O270" s="54"/>
      <c r="P270" s="54"/>
      <c r="Q270" s="54"/>
      <c r="R270" s="54"/>
      <c r="S270" s="54"/>
      <c r="T270" s="54"/>
      <c r="U270" s="54"/>
      <c r="V270" s="54"/>
      <c r="W270" s="54"/>
      <c r="X270" s="54"/>
    </row>
    <row r="271" spans="1:24" customFormat="1" ht="12.75" customHeight="1" x14ac:dyDescent="0.2">
      <c r="A271" s="58" t="s">
        <v>2466</v>
      </c>
      <c r="B271" s="53" t="s">
        <v>2467</v>
      </c>
      <c r="C271" s="59" t="s">
        <v>2466</v>
      </c>
      <c r="D271" s="272">
        <v>0</v>
      </c>
      <c r="E271" s="272">
        <v>0</v>
      </c>
      <c r="F271" s="60" t="str">
        <f t="shared" si="9"/>
        <v>-</v>
      </c>
      <c r="G271" s="54"/>
      <c r="H271" s="54"/>
      <c r="I271" s="54"/>
      <c r="J271" s="54"/>
      <c r="K271" s="54"/>
      <c r="L271" s="54"/>
      <c r="M271" s="54"/>
      <c r="N271" s="54"/>
      <c r="O271" s="54"/>
      <c r="P271" s="54"/>
      <c r="Q271" s="54"/>
      <c r="R271" s="54"/>
      <c r="S271" s="54"/>
      <c r="T271" s="54"/>
      <c r="U271" s="54"/>
      <c r="V271" s="54"/>
      <c r="W271" s="54"/>
      <c r="X271" s="54"/>
    </row>
    <row r="272" spans="1:24" customFormat="1" ht="12.75" customHeight="1" x14ac:dyDescent="0.2">
      <c r="A272" s="58" t="s">
        <v>2468</v>
      </c>
      <c r="B272" s="53" t="s">
        <v>2469</v>
      </c>
      <c r="C272" s="59" t="s">
        <v>2468</v>
      </c>
      <c r="D272" s="272">
        <v>0</v>
      </c>
      <c r="E272" s="272">
        <v>0</v>
      </c>
      <c r="F272" s="60" t="str">
        <f t="shared" si="9"/>
        <v>-</v>
      </c>
      <c r="G272" s="54"/>
      <c r="H272" s="54"/>
      <c r="I272" s="54"/>
      <c r="J272" s="54"/>
      <c r="K272" s="54"/>
      <c r="L272" s="54"/>
      <c r="M272" s="54"/>
      <c r="N272" s="54"/>
      <c r="O272" s="54"/>
      <c r="P272" s="54"/>
      <c r="Q272" s="54"/>
      <c r="R272" s="54"/>
      <c r="S272" s="54"/>
      <c r="T272" s="54"/>
      <c r="U272" s="54"/>
      <c r="V272" s="54"/>
      <c r="W272" s="54"/>
      <c r="X272" s="54"/>
    </row>
    <row r="273" spans="1:24" customFormat="1" ht="24" customHeight="1" x14ac:dyDescent="0.2">
      <c r="A273" s="58" t="s">
        <v>2470</v>
      </c>
      <c r="B273" s="53" t="s">
        <v>2471</v>
      </c>
      <c r="C273" s="59" t="s">
        <v>2470</v>
      </c>
      <c r="D273" s="272">
        <v>0</v>
      </c>
      <c r="E273" s="272">
        <v>0</v>
      </c>
      <c r="F273" s="60" t="str">
        <f t="shared" si="9"/>
        <v>-</v>
      </c>
      <c r="G273" s="54"/>
      <c r="H273" s="54"/>
      <c r="I273" s="54"/>
      <c r="J273" s="54"/>
      <c r="K273" s="54"/>
      <c r="L273" s="54"/>
      <c r="M273" s="54"/>
      <c r="N273" s="54"/>
      <c r="O273" s="54"/>
      <c r="P273" s="54"/>
      <c r="Q273" s="54"/>
      <c r="R273" s="54"/>
      <c r="S273" s="54"/>
      <c r="T273" s="54"/>
      <c r="U273" s="54"/>
      <c r="V273" s="54"/>
      <c r="W273" s="54"/>
      <c r="X273" s="54"/>
    </row>
    <row r="274" spans="1:24" customFormat="1" ht="24" customHeight="1" x14ac:dyDescent="0.2">
      <c r="A274" s="58" t="s">
        <v>2472</v>
      </c>
      <c r="B274" s="53" t="s">
        <v>2473</v>
      </c>
      <c r="C274" s="59" t="s">
        <v>2472</v>
      </c>
      <c r="D274" s="272">
        <v>0</v>
      </c>
      <c r="E274" s="272">
        <v>0</v>
      </c>
      <c r="F274" s="60" t="str">
        <f t="shared" si="9"/>
        <v>-</v>
      </c>
      <c r="G274" s="54"/>
      <c r="H274" s="54"/>
      <c r="I274" s="54"/>
      <c r="J274" s="54"/>
      <c r="K274" s="54"/>
      <c r="L274" s="54"/>
      <c r="M274" s="54"/>
      <c r="N274" s="54"/>
      <c r="O274" s="54"/>
      <c r="P274" s="54"/>
      <c r="Q274" s="54"/>
      <c r="R274" s="54"/>
      <c r="S274" s="54"/>
      <c r="T274" s="54"/>
      <c r="U274" s="54"/>
      <c r="V274" s="54"/>
      <c r="W274" s="54"/>
      <c r="X274" s="54"/>
    </row>
    <row r="275" spans="1:24" customFormat="1" ht="24" customHeight="1" x14ac:dyDescent="0.2">
      <c r="A275" s="58" t="s">
        <v>2474</v>
      </c>
      <c r="B275" s="53" t="s">
        <v>2475</v>
      </c>
      <c r="C275" s="59" t="s">
        <v>2474</v>
      </c>
      <c r="D275" s="272">
        <v>0</v>
      </c>
      <c r="E275" s="272">
        <v>0</v>
      </c>
      <c r="F275" s="60" t="str">
        <f t="shared" si="9"/>
        <v>-</v>
      </c>
      <c r="G275" s="54"/>
      <c r="H275" s="54"/>
      <c r="I275" s="54"/>
      <c r="J275" s="54"/>
      <c r="K275" s="54"/>
      <c r="L275" s="54"/>
      <c r="M275" s="54"/>
      <c r="N275" s="54"/>
      <c r="O275" s="54"/>
      <c r="P275" s="54"/>
      <c r="Q275" s="54"/>
      <c r="R275" s="54"/>
      <c r="S275" s="54"/>
      <c r="T275" s="54"/>
      <c r="U275" s="54"/>
      <c r="V275" s="54"/>
      <c r="W275" s="54"/>
      <c r="X275" s="54"/>
    </row>
    <row r="276" spans="1:24" customFormat="1" ht="24" customHeight="1" x14ac:dyDescent="0.2">
      <c r="A276" s="58" t="s">
        <v>2476</v>
      </c>
      <c r="B276" s="53" t="s">
        <v>2477</v>
      </c>
      <c r="C276" s="59" t="s">
        <v>2476</v>
      </c>
      <c r="D276" s="272">
        <v>0</v>
      </c>
      <c r="E276" s="272">
        <v>0</v>
      </c>
      <c r="F276" s="60" t="str">
        <f t="shared" si="9"/>
        <v>-</v>
      </c>
      <c r="G276" s="54"/>
      <c r="H276" s="54"/>
      <c r="I276" s="54"/>
      <c r="J276" s="54"/>
      <c r="K276" s="54"/>
      <c r="L276" s="54"/>
      <c r="M276" s="54"/>
      <c r="N276" s="54"/>
      <c r="O276" s="54"/>
      <c r="P276" s="54"/>
      <c r="Q276" s="54"/>
      <c r="R276" s="54"/>
      <c r="S276" s="54"/>
      <c r="T276" s="54"/>
      <c r="U276" s="54"/>
      <c r="V276" s="54"/>
      <c r="W276" s="54"/>
      <c r="X276" s="54"/>
    </row>
    <row r="277" spans="1:24" customFormat="1" ht="24" customHeight="1" x14ac:dyDescent="0.2">
      <c r="A277" s="58" t="s">
        <v>2478</v>
      </c>
      <c r="B277" s="53" t="s">
        <v>2479</v>
      </c>
      <c r="C277" s="59" t="s">
        <v>2478</v>
      </c>
      <c r="D277" s="272">
        <v>0</v>
      </c>
      <c r="E277" s="272">
        <v>0</v>
      </c>
      <c r="F277" s="60" t="str">
        <f t="shared" si="9"/>
        <v>-</v>
      </c>
      <c r="G277" s="54"/>
      <c r="H277" s="54"/>
      <c r="I277" s="54"/>
      <c r="J277" s="54"/>
      <c r="K277" s="54"/>
      <c r="L277" s="54"/>
      <c r="M277" s="54"/>
      <c r="N277" s="54"/>
      <c r="O277" s="54"/>
      <c r="P277" s="54"/>
      <c r="Q277" s="54"/>
      <c r="R277" s="54"/>
      <c r="S277" s="54"/>
      <c r="T277" s="54"/>
      <c r="U277" s="54"/>
      <c r="V277" s="54"/>
      <c r="W277" s="54"/>
      <c r="X277" s="54"/>
    </row>
    <row r="278" spans="1:24" customFormat="1" ht="24" customHeight="1" x14ac:dyDescent="0.2">
      <c r="A278" s="58" t="s">
        <v>2480</v>
      </c>
      <c r="B278" s="53" t="s">
        <v>2481</v>
      </c>
      <c r="C278" s="59" t="s">
        <v>2480</v>
      </c>
      <c r="D278" s="272">
        <v>0</v>
      </c>
      <c r="E278" s="272">
        <v>0</v>
      </c>
      <c r="F278" s="60" t="str">
        <f t="shared" si="9"/>
        <v>-</v>
      </c>
      <c r="G278" s="54"/>
      <c r="H278" s="54"/>
      <c r="I278" s="54"/>
      <c r="J278" s="54"/>
      <c r="K278" s="54"/>
      <c r="L278" s="54"/>
      <c r="M278" s="54"/>
      <c r="N278" s="54"/>
      <c r="O278" s="54"/>
      <c r="P278" s="54"/>
      <c r="Q278" s="54"/>
      <c r="R278" s="54"/>
      <c r="S278" s="54"/>
      <c r="T278" s="54"/>
      <c r="U278" s="54"/>
      <c r="V278" s="54"/>
      <c r="W278" s="54"/>
      <c r="X278" s="54"/>
    </row>
    <row r="279" spans="1:24" customFormat="1" ht="24" customHeight="1" x14ac:dyDescent="0.2">
      <c r="A279" s="58" t="s">
        <v>2482</v>
      </c>
      <c r="B279" s="53" t="s">
        <v>2483</v>
      </c>
      <c r="C279" s="59" t="s">
        <v>2482</v>
      </c>
      <c r="D279" s="272">
        <v>0</v>
      </c>
      <c r="E279" s="272">
        <v>0</v>
      </c>
      <c r="F279" s="60" t="str">
        <f t="shared" si="9"/>
        <v>-</v>
      </c>
      <c r="G279" s="54"/>
      <c r="H279" s="54"/>
      <c r="I279" s="54"/>
      <c r="J279" s="54"/>
      <c r="K279" s="54"/>
      <c r="L279" s="54"/>
      <c r="M279" s="54"/>
      <c r="N279" s="54"/>
      <c r="O279" s="54"/>
      <c r="P279" s="54"/>
      <c r="Q279" s="54"/>
      <c r="R279" s="54"/>
      <c r="S279" s="54"/>
      <c r="T279" s="54"/>
      <c r="U279" s="54"/>
      <c r="V279" s="54"/>
      <c r="W279" s="54"/>
      <c r="X279" s="54"/>
    </row>
    <row r="280" spans="1:24" customFormat="1" ht="24" customHeight="1" x14ac:dyDescent="0.2">
      <c r="A280" s="58" t="s">
        <v>2484</v>
      </c>
      <c r="B280" s="53" t="s">
        <v>2485</v>
      </c>
      <c r="C280" s="59" t="s">
        <v>2484</v>
      </c>
      <c r="D280" s="272">
        <v>0</v>
      </c>
      <c r="E280" s="272">
        <v>0</v>
      </c>
      <c r="F280" s="60" t="str">
        <f t="shared" si="9"/>
        <v>-</v>
      </c>
      <c r="G280" s="54"/>
      <c r="H280" s="54"/>
      <c r="I280" s="54"/>
      <c r="J280" s="54"/>
      <c r="K280" s="54"/>
      <c r="L280" s="54"/>
      <c r="M280" s="54"/>
      <c r="N280" s="54"/>
      <c r="O280" s="54"/>
      <c r="P280" s="54"/>
      <c r="Q280" s="54"/>
      <c r="R280" s="54"/>
      <c r="S280" s="54"/>
      <c r="T280" s="54"/>
      <c r="U280" s="54"/>
      <c r="V280" s="54"/>
      <c r="W280" s="54"/>
      <c r="X280" s="54"/>
    </row>
    <row r="281" spans="1:24" customFormat="1" ht="24" customHeight="1" x14ac:dyDescent="0.2">
      <c r="A281" s="58" t="s">
        <v>2486</v>
      </c>
      <c r="B281" s="53" t="s">
        <v>2487</v>
      </c>
      <c r="C281" s="59" t="s">
        <v>2486</v>
      </c>
      <c r="D281" s="272">
        <v>0</v>
      </c>
      <c r="E281" s="272">
        <v>0</v>
      </c>
      <c r="F281" s="60" t="str">
        <f t="shared" si="9"/>
        <v>-</v>
      </c>
      <c r="G281" s="54"/>
      <c r="H281" s="54"/>
      <c r="I281" s="54"/>
      <c r="J281" s="54"/>
      <c r="K281" s="54"/>
      <c r="L281" s="54"/>
      <c r="M281" s="54"/>
      <c r="N281" s="54"/>
      <c r="O281" s="54"/>
      <c r="P281" s="54"/>
      <c r="Q281" s="54"/>
      <c r="R281" s="54"/>
      <c r="S281" s="54"/>
      <c r="T281" s="54"/>
      <c r="U281" s="54"/>
      <c r="V281" s="54"/>
      <c r="W281" s="54"/>
      <c r="X281" s="54"/>
    </row>
    <row r="282" spans="1:24" customFormat="1" ht="24" customHeight="1" x14ac:dyDescent="0.2">
      <c r="A282" s="58" t="s">
        <v>2488</v>
      </c>
      <c r="B282" s="53" t="s">
        <v>2489</v>
      </c>
      <c r="C282" s="59" t="s">
        <v>2488</v>
      </c>
      <c r="D282" s="272">
        <v>0</v>
      </c>
      <c r="E282" s="272">
        <v>0</v>
      </c>
      <c r="F282" s="60" t="str">
        <f t="shared" si="9"/>
        <v>-</v>
      </c>
      <c r="G282" s="54"/>
      <c r="H282" s="54"/>
      <c r="I282" s="54"/>
      <c r="J282" s="54"/>
      <c r="K282" s="54"/>
      <c r="L282" s="54"/>
      <c r="M282" s="54"/>
      <c r="N282" s="54"/>
      <c r="O282" s="54"/>
      <c r="P282" s="54"/>
      <c r="Q282" s="54"/>
      <c r="R282" s="54"/>
      <c r="S282" s="54"/>
      <c r="T282" s="54"/>
      <c r="U282" s="54"/>
      <c r="V282" s="54"/>
      <c r="W282" s="54"/>
      <c r="X282" s="54"/>
    </row>
    <row r="283" spans="1:24" customFormat="1" ht="24" customHeight="1" x14ac:dyDescent="0.2">
      <c r="A283" s="58" t="s">
        <v>2490</v>
      </c>
      <c r="B283" s="53" t="s">
        <v>2491</v>
      </c>
      <c r="C283" s="59" t="s">
        <v>2490</v>
      </c>
      <c r="D283" s="272">
        <v>0</v>
      </c>
      <c r="E283" s="272">
        <v>0</v>
      </c>
      <c r="F283" s="60" t="str">
        <f t="shared" si="9"/>
        <v>-</v>
      </c>
      <c r="G283" s="54"/>
      <c r="H283" s="54"/>
      <c r="I283" s="54"/>
      <c r="J283" s="54"/>
      <c r="K283" s="54"/>
      <c r="L283" s="54"/>
      <c r="M283" s="54"/>
      <c r="N283" s="54"/>
      <c r="O283" s="54"/>
      <c r="P283" s="54"/>
      <c r="Q283" s="54"/>
      <c r="R283" s="54"/>
      <c r="S283" s="54"/>
      <c r="T283" s="54"/>
      <c r="U283" s="54"/>
      <c r="V283" s="54"/>
      <c r="W283" s="54"/>
      <c r="X283" s="54"/>
    </row>
    <row r="284" spans="1:24" customFormat="1" ht="24" customHeight="1" x14ac:dyDescent="0.2">
      <c r="A284" s="58" t="s">
        <v>2492</v>
      </c>
      <c r="B284" s="53" t="s">
        <v>2493</v>
      </c>
      <c r="C284" s="59" t="s">
        <v>2492</v>
      </c>
      <c r="D284" s="272">
        <v>0</v>
      </c>
      <c r="E284" s="272">
        <v>0</v>
      </c>
      <c r="F284" s="60" t="str">
        <f t="shared" si="9"/>
        <v>-</v>
      </c>
      <c r="G284" s="54"/>
      <c r="H284" s="54"/>
      <c r="I284" s="54"/>
      <c r="J284" s="54"/>
      <c r="K284" s="54"/>
      <c r="L284" s="54"/>
      <c r="M284" s="54"/>
      <c r="N284" s="54"/>
      <c r="O284" s="54"/>
      <c r="P284" s="54"/>
      <c r="Q284" s="54"/>
      <c r="R284" s="54"/>
      <c r="S284" s="54"/>
      <c r="T284" s="54"/>
      <c r="U284" s="54"/>
      <c r="V284" s="54"/>
      <c r="W284" s="54"/>
      <c r="X284" s="54"/>
    </row>
    <row r="285" spans="1:24" customFormat="1" ht="24" customHeight="1" x14ac:dyDescent="0.2">
      <c r="A285" s="58" t="s">
        <v>2494</v>
      </c>
      <c r="B285" s="53" t="s">
        <v>2495</v>
      </c>
      <c r="C285" s="59" t="s">
        <v>2494</v>
      </c>
      <c r="D285" s="272">
        <v>0</v>
      </c>
      <c r="E285" s="272">
        <v>0</v>
      </c>
      <c r="F285" s="60" t="str">
        <f t="shared" si="9"/>
        <v>-</v>
      </c>
      <c r="G285" s="54"/>
      <c r="H285" s="54"/>
      <c r="I285" s="54"/>
      <c r="J285" s="54"/>
      <c r="K285" s="54"/>
      <c r="L285" s="54"/>
      <c r="M285" s="54"/>
      <c r="N285" s="54"/>
      <c r="O285" s="54"/>
      <c r="P285" s="54"/>
      <c r="Q285" s="54"/>
      <c r="R285" s="54"/>
      <c r="S285" s="54"/>
      <c r="T285" s="54"/>
      <c r="U285" s="54"/>
      <c r="V285" s="54"/>
      <c r="W285" s="54"/>
      <c r="X285" s="54"/>
    </row>
    <row r="286" spans="1:24" customFormat="1" ht="24" customHeight="1" x14ac:dyDescent="0.2">
      <c r="A286" s="58" t="s">
        <v>2496</v>
      </c>
      <c r="B286" s="53" t="s">
        <v>2497</v>
      </c>
      <c r="C286" s="59" t="s">
        <v>2496</v>
      </c>
      <c r="D286" s="272">
        <v>0</v>
      </c>
      <c r="E286" s="272">
        <v>0</v>
      </c>
      <c r="F286" s="60" t="str">
        <f t="shared" si="9"/>
        <v>-</v>
      </c>
      <c r="G286" s="54"/>
      <c r="H286" s="54"/>
      <c r="I286" s="54"/>
      <c r="J286" s="54"/>
      <c r="K286" s="54"/>
      <c r="L286" s="54"/>
      <c r="M286" s="54"/>
      <c r="N286" s="54"/>
      <c r="O286" s="54"/>
      <c r="P286" s="54"/>
      <c r="Q286" s="54"/>
      <c r="R286" s="54"/>
      <c r="S286" s="54"/>
      <c r="T286" s="54"/>
      <c r="U286" s="54"/>
      <c r="V286" s="54"/>
      <c r="W286" s="54"/>
      <c r="X286" s="54"/>
    </row>
    <row r="287" spans="1:24" customFormat="1" ht="12.75" customHeight="1" x14ac:dyDescent="0.2">
      <c r="A287" s="58" t="s">
        <v>2498</v>
      </c>
      <c r="B287" s="53" t="s">
        <v>2499</v>
      </c>
      <c r="C287" s="59" t="s">
        <v>2500</v>
      </c>
      <c r="D287" s="272">
        <v>0</v>
      </c>
      <c r="E287" s="272">
        <v>0</v>
      </c>
      <c r="F287" s="60" t="str">
        <f t="shared" si="9"/>
        <v>-</v>
      </c>
      <c r="G287" s="54"/>
      <c r="H287" s="54"/>
      <c r="I287" s="54"/>
      <c r="J287" s="54"/>
      <c r="K287" s="54"/>
      <c r="L287" s="54"/>
      <c r="M287" s="54"/>
      <c r="N287" s="54"/>
      <c r="O287" s="54"/>
      <c r="P287" s="54"/>
      <c r="Q287" s="54"/>
      <c r="R287" s="54"/>
      <c r="S287" s="54"/>
      <c r="T287" s="54"/>
      <c r="U287" s="54"/>
      <c r="V287" s="54"/>
      <c r="W287" s="54"/>
      <c r="X287" s="54"/>
    </row>
    <row r="288" spans="1:24" customFormat="1" ht="12.75" customHeight="1" x14ac:dyDescent="0.2">
      <c r="A288" s="58" t="s">
        <v>2498</v>
      </c>
      <c r="B288" s="53" t="s">
        <v>2501</v>
      </c>
      <c r="C288" s="59" t="s">
        <v>2502</v>
      </c>
      <c r="D288" s="272">
        <v>5638</v>
      </c>
      <c r="E288" s="272">
        <v>5690.38</v>
      </c>
      <c r="F288" s="60">
        <f t="shared" si="9"/>
        <v>100.92905285562257</v>
      </c>
      <c r="G288" s="54"/>
      <c r="H288" s="54"/>
      <c r="I288" s="54"/>
      <c r="J288" s="54"/>
      <c r="K288" s="54"/>
      <c r="L288" s="54"/>
      <c r="M288" s="54"/>
      <c r="N288" s="54"/>
      <c r="O288" s="54"/>
      <c r="P288" s="54"/>
      <c r="Q288" s="54"/>
      <c r="R288" s="54"/>
      <c r="S288" s="54"/>
      <c r="T288" s="54"/>
      <c r="U288" s="54"/>
      <c r="V288" s="54"/>
      <c r="W288" s="54"/>
      <c r="X288" s="54"/>
    </row>
    <row r="289" spans="1:24" customFormat="1" ht="12.75" customHeight="1" x14ac:dyDescent="0.2">
      <c r="A289" s="58" t="s">
        <v>2503</v>
      </c>
      <c r="B289" s="53" t="s">
        <v>2504</v>
      </c>
      <c r="C289" s="59" t="s">
        <v>2505</v>
      </c>
      <c r="D289" s="272">
        <v>0</v>
      </c>
      <c r="E289" s="272">
        <v>0</v>
      </c>
      <c r="F289" s="60" t="str">
        <f t="shared" si="9"/>
        <v>-</v>
      </c>
      <c r="G289" s="54"/>
      <c r="H289" s="54"/>
      <c r="I289" s="54"/>
      <c r="J289" s="54"/>
      <c r="K289" s="54"/>
      <c r="L289" s="54"/>
      <c r="M289" s="54"/>
      <c r="N289" s="54"/>
      <c r="O289" s="54"/>
      <c r="P289" s="54"/>
      <c r="Q289" s="54"/>
      <c r="R289" s="54"/>
      <c r="S289" s="54"/>
      <c r="T289" s="54"/>
      <c r="U289" s="54"/>
      <c r="V289" s="54"/>
      <c r="W289" s="54"/>
      <c r="X289" s="54"/>
    </row>
    <row r="290" spans="1:24" customFormat="1" ht="12.75" customHeight="1" x14ac:dyDescent="0.2">
      <c r="A290" s="58" t="s">
        <v>2503</v>
      </c>
      <c r="B290" s="53" t="s">
        <v>2506</v>
      </c>
      <c r="C290" s="59" t="s">
        <v>2507</v>
      </c>
      <c r="D290" s="272">
        <v>0</v>
      </c>
      <c r="E290" s="272">
        <v>60817.2</v>
      </c>
      <c r="F290" s="60" t="str">
        <f t="shared" si="9"/>
        <v>-</v>
      </c>
      <c r="G290" s="54"/>
      <c r="H290" s="54"/>
      <c r="I290" s="54"/>
      <c r="J290" s="54"/>
      <c r="K290" s="54"/>
      <c r="L290" s="54"/>
      <c r="M290" s="54"/>
      <c r="N290" s="54"/>
      <c r="O290" s="54"/>
      <c r="P290" s="54"/>
      <c r="Q290" s="54"/>
      <c r="R290" s="54"/>
      <c r="S290" s="54"/>
      <c r="T290" s="54"/>
      <c r="U290" s="54"/>
      <c r="V290" s="54"/>
      <c r="W290" s="54"/>
      <c r="X290" s="54"/>
    </row>
    <row r="291" spans="1:24" customFormat="1" ht="12.75" customHeight="1" x14ac:dyDescent="0.2">
      <c r="A291" s="58" t="s">
        <v>2508</v>
      </c>
      <c r="B291" s="53" t="s">
        <v>2509</v>
      </c>
      <c r="C291" s="59" t="s">
        <v>2510</v>
      </c>
      <c r="D291" s="272">
        <v>0</v>
      </c>
      <c r="E291" s="272">
        <v>0</v>
      </c>
      <c r="F291" s="60" t="str">
        <f t="shared" si="9"/>
        <v>-</v>
      </c>
      <c r="G291" s="54"/>
      <c r="H291" s="54"/>
      <c r="I291" s="54"/>
      <c r="J291" s="54"/>
      <c r="K291" s="54"/>
      <c r="L291" s="54"/>
      <c r="M291" s="54"/>
      <c r="N291" s="54"/>
      <c r="O291" s="54"/>
      <c r="P291" s="54"/>
      <c r="Q291" s="54"/>
      <c r="R291" s="54"/>
      <c r="S291" s="54"/>
      <c r="T291" s="54"/>
      <c r="U291" s="54"/>
      <c r="V291" s="54"/>
      <c r="W291" s="54"/>
      <c r="X291" s="54"/>
    </row>
    <row r="292" spans="1:24" customFormat="1" ht="12.75" customHeight="1" x14ac:dyDescent="0.2">
      <c r="A292" s="58" t="s">
        <v>2508</v>
      </c>
      <c r="B292" s="53" t="s">
        <v>2511</v>
      </c>
      <c r="C292" s="59" t="s">
        <v>2512</v>
      </c>
      <c r="D292" s="272">
        <v>0</v>
      </c>
      <c r="E292" s="272">
        <v>0</v>
      </c>
      <c r="F292" s="60" t="str">
        <f t="shared" si="9"/>
        <v>-</v>
      </c>
      <c r="G292" s="54"/>
      <c r="H292" s="54"/>
      <c r="I292" s="54"/>
      <c r="J292" s="54"/>
      <c r="K292" s="54"/>
      <c r="L292" s="54"/>
      <c r="M292" s="54"/>
      <c r="N292" s="54"/>
      <c r="O292" s="54"/>
      <c r="P292" s="54"/>
      <c r="Q292" s="54"/>
      <c r="R292" s="54"/>
      <c r="S292" s="54"/>
      <c r="T292" s="54"/>
      <c r="U292" s="54"/>
      <c r="V292" s="54"/>
      <c r="W292" s="54"/>
      <c r="X292" s="54"/>
    </row>
    <row r="293" spans="1:24" customFormat="1" ht="12.75" customHeight="1" x14ac:dyDescent="0.2">
      <c r="A293" s="58" t="s">
        <v>2513</v>
      </c>
      <c r="B293" s="53" t="s">
        <v>2514</v>
      </c>
      <c r="C293" s="59" t="s">
        <v>2515</v>
      </c>
      <c r="D293" s="272">
        <v>0</v>
      </c>
      <c r="E293" s="272">
        <v>0</v>
      </c>
      <c r="F293" s="60" t="str">
        <f t="shared" si="9"/>
        <v>-</v>
      </c>
      <c r="G293" s="54"/>
      <c r="H293" s="54"/>
      <c r="I293" s="54"/>
      <c r="J293" s="54"/>
      <c r="K293" s="54"/>
      <c r="L293" s="54"/>
      <c r="M293" s="54"/>
      <c r="N293" s="54"/>
      <c r="O293" s="54"/>
      <c r="P293" s="54"/>
      <c r="Q293" s="54"/>
      <c r="R293" s="54"/>
      <c r="S293" s="54"/>
      <c r="T293" s="54"/>
      <c r="U293" s="54"/>
      <c r="V293" s="54"/>
      <c r="W293" s="54"/>
      <c r="X293" s="54"/>
    </row>
    <row r="294" spans="1:24" customFormat="1" ht="12.75" customHeight="1" x14ac:dyDescent="0.2">
      <c r="A294" s="58" t="s">
        <v>2513</v>
      </c>
      <c r="B294" s="53" t="s">
        <v>2516</v>
      </c>
      <c r="C294" s="59" t="s">
        <v>2517</v>
      </c>
      <c r="D294" s="272">
        <v>8421.82</v>
      </c>
      <c r="E294" s="272">
        <v>340915.82</v>
      </c>
      <c r="F294" s="60">
        <f t="shared" ref="F294:F322" si="10">IF(D294&gt;0,IF(E294/D294&gt;=100,"&gt;&gt;100",E294/D294*100),"-")</f>
        <v>4048.0064879087899</v>
      </c>
      <c r="G294" s="54"/>
      <c r="H294" s="54"/>
      <c r="I294" s="54"/>
      <c r="J294" s="54"/>
      <c r="K294" s="54"/>
      <c r="L294" s="54"/>
      <c r="M294" s="54"/>
      <c r="N294" s="54"/>
      <c r="O294" s="54"/>
      <c r="P294" s="54"/>
      <c r="Q294" s="54"/>
      <c r="R294" s="54"/>
      <c r="S294" s="54"/>
      <c r="T294" s="54"/>
      <c r="U294" s="54"/>
      <c r="V294" s="54"/>
      <c r="W294" s="54"/>
      <c r="X294" s="54"/>
    </row>
    <row r="295" spans="1:24" customFormat="1" ht="12.75" customHeight="1" x14ac:dyDescent="0.2">
      <c r="A295" s="58" t="s">
        <v>2518</v>
      </c>
      <c r="B295" s="122" t="s">
        <v>2519</v>
      </c>
      <c r="C295" s="59" t="s">
        <v>2518</v>
      </c>
      <c r="D295" s="272">
        <v>0</v>
      </c>
      <c r="E295" s="272">
        <v>0</v>
      </c>
      <c r="F295" s="60" t="str">
        <f t="shared" si="10"/>
        <v>-</v>
      </c>
      <c r="G295" s="54"/>
      <c r="H295" s="54"/>
      <c r="I295" s="54"/>
      <c r="J295" s="54"/>
      <c r="K295" s="54"/>
      <c r="L295" s="54"/>
      <c r="M295" s="54"/>
      <c r="N295" s="54"/>
      <c r="O295" s="54"/>
      <c r="P295" s="54"/>
      <c r="Q295" s="54"/>
      <c r="R295" s="54"/>
      <c r="S295" s="54"/>
      <c r="T295" s="54"/>
      <c r="U295" s="54"/>
      <c r="V295" s="54"/>
      <c r="W295" s="54"/>
      <c r="X295" s="54"/>
    </row>
    <row r="296" spans="1:24" customFormat="1" ht="12.75" customHeight="1" x14ac:dyDescent="0.2">
      <c r="A296" s="58" t="s">
        <v>2520</v>
      </c>
      <c r="B296" s="122" t="s">
        <v>2521</v>
      </c>
      <c r="C296" s="59" t="s">
        <v>2520</v>
      </c>
      <c r="D296" s="272">
        <v>0</v>
      </c>
      <c r="E296" s="272">
        <v>0</v>
      </c>
      <c r="F296" s="60" t="str">
        <f t="shared" si="10"/>
        <v>-</v>
      </c>
      <c r="G296" s="54"/>
      <c r="H296" s="54"/>
      <c r="I296" s="54"/>
      <c r="J296" s="54"/>
      <c r="K296" s="54"/>
      <c r="L296" s="54"/>
      <c r="M296" s="54"/>
      <c r="N296" s="54"/>
      <c r="O296" s="54"/>
      <c r="P296" s="54"/>
      <c r="Q296" s="54"/>
      <c r="R296" s="54"/>
      <c r="S296" s="54"/>
      <c r="T296" s="54"/>
      <c r="U296" s="54"/>
      <c r="V296" s="54"/>
      <c r="W296" s="54"/>
      <c r="X296" s="54"/>
    </row>
    <row r="297" spans="1:24" customFormat="1" ht="12.75" customHeight="1" x14ac:dyDescent="0.2">
      <c r="A297" s="58" t="s">
        <v>2522</v>
      </c>
      <c r="B297" s="122" t="s">
        <v>2523</v>
      </c>
      <c r="C297" s="59" t="s">
        <v>2522</v>
      </c>
      <c r="D297" s="272">
        <v>0</v>
      </c>
      <c r="E297" s="272">
        <v>0</v>
      </c>
      <c r="F297" s="60" t="str">
        <f t="shared" si="10"/>
        <v>-</v>
      </c>
      <c r="G297" s="54"/>
      <c r="H297" s="54"/>
      <c r="I297" s="54"/>
      <c r="J297" s="54"/>
      <c r="K297" s="54"/>
      <c r="L297" s="54"/>
      <c r="M297" s="54"/>
      <c r="N297" s="54"/>
      <c r="O297" s="54"/>
      <c r="P297" s="54"/>
      <c r="Q297" s="54"/>
      <c r="R297" s="54"/>
      <c r="S297" s="54"/>
      <c r="T297" s="54"/>
      <c r="U297" s="54"/>
      <c r="V297" s="54"/>
      <c r="W297" s="54"/>
      <c r="X297" s="54"/>
    </row>
    <row r="298" spans="1:24" customFormat="1" ht="12.75" customHeight="1" x14ac:dyDescent="0.2">
      <c r="A298" s="58" t="s">
        <v>2524</v>
      </c>
      <c r="B298" s="122" t="s">
        <v>2525</v>
      </c>
      <c r="C298" s="59" t="s">
        <v>2524</v>
      </c>
      <c r="D298" s="272">
        <v>594.29</v>
      </c>
      <c r="E298" s="272">
        <v>142.65</v>
      </c>
      <c r="F298" s="60">
        <f t="shared" si="10"/>
        <v>24.003432667552882</v>
      </c>
      <c r="G298" s="54"/>
      <c r="H298" s="54"/>
      <c r="I298" s="54"/>
      <c r="J298" s="54"/>
      <c r="K298" s="54"/>
      <c r="L298" s="54"/>
      <c r="M298" s="54"/>
      <c r="N298" s="54"/>
      <c r="O298" s="54"/>
      <c r="P298" s="54"/>
      <c r="Q298" s="54"/>
      <c r="R298" s="54"/>
      <c r="S298" s="54"/>
      <c r="T298" s="54"/>
      <c r="U298" s="54"/>
      <c r="V298" s="54"/>
      <c r="W298" s="54"/>
      <c r="X298" s="54"/>
    </row>
    <row r="299" spans="1:24" customFormat="1" ht="12.75" customHeight="1" x14ac:dyDescent="0.2">
      <c r="A299" s="58" t="s">
        <v>2526</v>
      </c>
      <c r="B299" s="122" t="s">
        <v>2527</v>
      </c>
      <c r="C299" s="59" t="s">
        <v>2526</v>
      </c>
      <c r="D299" s="272">
        <v>0</v>
      </c>
      <c r="E299" s="272">
        <v>0</v>
      </c>
      <c r="F299" s="60" t="str">
        <f t="shared" si="10"/>
        <v>-</v>
      </c>
      <c r="G299" s="54"/>
      <c r="H299" s="54"/>
      <c r="I299" s="54"/>
      <c r="J299" s="54"/>
      <c r="K299" s="54"/>
      <c r="L299" s="54"/>
      <c r="M299" s="54"/>
      <c r="N299" s="54"/>
      <c r="O299" s="54"/>
      <c r="P299" s="54"/>
      <c r="Q299" s="54"/>
      <c r="R299" s="54"/>
      <c r="S299" s="54"/>
      <c r="T299" s="54"/>
      <c r="U299" s="54"/>
      <c r="V299" s="54"/>
      <c r="W299" s="54"/>
      <c r="X299" s="54"/>
    </row>
    <row r="300" spans="1:24" customFormat="1" ht="12.75" customHeight="1" x14ac:dyDescent="0.2">
      <c r="A300" s="58" t="s">
        <v>2528</v>
      </c>
      <c r="B300" s="122" t="s">
        <v>2529</v>
      </c>
      <c r="C300" s="59" t="s">
        <v>2528</v>
      </c>
      <c r="D300" s="272">
        <v>0</v>
      </c>
      <c r="E300" s="272">
        <v>0</v>
      </c>
      <c r="F300" s="60" t="str">
        <f t="shared" si="10"/>
        <v>-</v>
      </c>
      <c r="G300" s="54"/>
      <c r="H300" s="54"/>
      <c r="I300" s="54"/>
      <c r="J300" s="54"/>
      <c r="K300" s="54"/>
      <c r="L300" s="54"/>
      <c r="M300" s="54"/>
      <c r="N300" s="54"/>
      <c r="O300" s="54"/>
      <c r="P300" s="54"/>
      <c r="Q300" s="54"/>
      <c r="R300" s="54"/>
      <c r="S300" s="54"/>
      <c r="T300" s="54"/>
      <c r="U300" s="54"/>
      <c r="V300" s="54"/>
      <c r="W300" s="54"/>
      <c r="X300" s="54"/>
    </row>
    <row r="301" spans="1:24" customFormat="1" ht="12.75" customHeight="1" x14ac:dyDescent="0.2">
      <c r="A301" s="58" t="s">
        <v>2530</v>
      </c>
      <c r="B301" s="122" t="s">
        <v>2531</v>
      </c>
      <c r="C301" s="59" t="s">
        <v>2530</v>
      </c>
      <c r="D301" s="272">
        <v>0</v>
      </c>
      <c r="E301" s="272">
        <v>0</v>
      </c>
      <c r="F301" s="60" t="str">
        <f t="shared" si="10"/>
        <v>-</v>
      </c>
      <c r="G301" s="54"/>
      <c r="H301" s="54"/>
      <c r="I301" s="54"/>
      <c r="J301" s="54"/>
      <c r="K301" s="54"/>
      <c r="L301" s="54"/>
      <c r="M301" s="54"/>
      <c r="N301" s="54"/>
      <c r="O301" s="54"/>
      <c r="P301" s="54"/>
      <c r="Q301" s="54"/>
      <c r="R301" s="54"/>
      <c r="S301" s="54"/>
      <c r="T301" s="54"/>
      <c r="U301" s="54"/>
      <c r="V301" s="54"/>
      <c r="W301" s="54"/>
      <c r="X301" s="54"/>
    </row>
    <row r="302" spans="1:24" customFormat="1" ht="12.75" customHeight="1" x14ac:dyDescent="0.2">
      <c r="A302" s="58" t="s">
        <v>2532</v>
      </c>
      <c r="B302" s="122" t="s">
        <v>2533</v>
      </c>
      <c r="C302" s="59" t="s">
        <v>2532</v>
      </c>
      <c r="D302" s="272">
        <v>0</v>
      </c>
      <c r="E302" s="272">
        <v>0</v>
      </c>
      <c r="F302" s="60" t="str">
        <f t="shared" si="10"/>
        <v>-</v>
      </c>
      <c r="G302" s="54"/>
      <c r="H302" s="54"/>
      <c r="I302" s="54"/>
      <c r="J302" s="54"/>
      <c r="K302" s="54"/>
      <c r="L302" s="54"/>
      <c r="M302" s="54"/>
      <c r="N302" s="54"/>
      <c r="O302" s="54"/>
      <c r="P302" s="54"/>
      <c r="Q302" s="54"/>
      <c r="R302" s="54"/>
      <c r="S302" s="54"/>
      <c r="T302" s="54"/>
      <c r="U302" s="54"/>
      <c r="V302" s="54"/>
      <c r="W302" s="54"/>
      <c r="X302" s="54"/>
    </row>
    <row r="303" spans="1:24" customFormat="1" ht="12.75" customHeight="1" x14ac:dyDescent="0.2">
      <c r="A303" s="58" t="s">
        <v>2534</v>
      </c>
      <c r="B303" s="122" t="s">
        <v>2535</v>
      </c>
      <c r="C303" s="59" t="s">
        <v>2534</v>
      </c>
      <c r="D303" s="272">
        <v>0</v>
      </c>
      <c r="E303" s="272">
        <v>0</v>
      </c>
      <c r="F303" s="60" t="str">
        <f t="shared" si="10"/>
        <v>-</v>
      </c>
      <c r="G303" s="54"/>
      <c r="H303" s="54"/>
      <c r="I303" s="54"/>
      <c r="J303" s="54"/>
      <c r="K303" s="54"/>
      <c r="L303" s="54"/>
      <c r="M303" s="54"/>
      <c r="N303" s="54"/>
      <c r="O303" s="54"/>
      <c r="P303" s="54"/>
      <c r="Q303" s="54"/>
      <c r="R303" s="54"/>
      <c r="S303" s="54"/>
      <c r="T303" s="54"/>
      <c r="U303" s="54"/>
      <c r="V303" s="54"/>
      <c r="W303" s="54"/>
      <c r="X303" s="54"/>
    </row>
    <row r="304" spans="1:24" customFormat="1" ht="12.75" customHeight="1" x14ac:dyDescent="0.2">
      <c r="A304" s="58" t="s">
        <v>2536</v>
      </c>
      <c r="B304" s="122" t="s">
        <v>2537</v>
      </c>
      <c r="C304" s="59" t="s">
        <v>2536</v>
      </c>
      <c r="D304" s="272">
        <v>0</v>
      </c>
      <c r="E304" s="272">
        <v>0</v>
      </c>
      <c r="F304" s="60" t="str">
        <f t="shared" si="10"/>
        <v>-</v>
      </c>
      <c r="G304" s="54"/>
      <c r="H304" s="54"/>
      <c r="I304" s="54"/>
      <c r="J304" s="54"/>
      <c r="K304" s="54"/>
      <c r="L304" s="54"/>
      <c r="M304" s="54"/>
      <c r="N304" s="54"/>
      <c r="O304" s="54"/>
      <c r="P304" s="54"/>
      <c r="Q304" s="54"/>
      <c r="R304" s="54"/>
      <c r="S304" s="54"/>
      <c r="T304" s="54"/>
      <c r="U304" s="54"/>
      <c r="V304" s="54"/>
      <c r="W304" s="54"/>
      <c r="X304" s="54"/>
    </row>
    <row r="305" spans="1:24" customFormat="1" ht="24" customHeight="1" x14ac:dyDescent="0.2">
      <c r="A305" s="58" t="s">
        <v>2538</v>
      </c>
      <c r="B305" s="122" t="s">
        <v>2539</v>
      </c>
      <c r="C305" s="59" t="s">
        <v>2538</v>
      </c>
      <c r="D305" s="272">
        <v>0</v>
      </c>
      <c r="E305" s="272">
        <v>0</v>
      </c>
      <c r="F305" s="60" t="str">
        <f t="shared" si="10"/>
        <v>-</v>
      </c>
      <c r="G305" s="54"/>
      <c r="H305" s="54"/>
      <c r="I305" s="54"/>
      <c r="J305" s="54"/>
      <c r="K305" s="54"/>
      <c r="L305" s="54"/>
      <c r="M305" s="54"/>
      <c r="N305" s="54"/>
      <c r="O305" s="54"/>
      <c r="P305" s="54"/>
      <c r="Q305" s="54"/>
      <c r="R305" s="54"/>
      <c r="S305" s="54"/>
      <c r="T305" s="54"/>
      <c r="U305" s="54"/>
      <c r="V305" s="54"/>
      <c r="W305" s="54"/>
      <c r="X305" s="54"/>
    </row>
    <row r="306" spans="1:24" customFormat="1" ht="24" customHeight="1" x14ac:dyDescent="0.2">
      <c r="A306" s="58" t="s">
        <v>1970</v>
      </c>
      <c r="B306" s="122" t="s">
        <v>1971</v>
      </c>
      <c r="C306" s="59" t="s">
        <v>1970</v>
      </c>
      <c r="D306" s="272">
        <v>0</v>
      </c>
      <c r="E306" s="272">
        <v>0</v>
      </c>
      <c r="F306" s="60" t="str">
        <f t="shared" si="10"/>
        <v>-</v>
      </c>
      <c r="G306" s="54"/>
      <c r="H306" s="54"/>
      <c r="I306" s="54"/>
      <c r="J306" s="54"/>
      <c r="K306" s="54"/>
      <c r="L306" s="54"/>
      <c r="M306" s="54"/>
      <c r="N306" s="54"/>
      <c r="O306" s="54"/>
      <c r="P306" s="54"/>
      <c r="Q306" s="54"/>
      <c r="R306" s="54"/>
      <c r="S306" s="54"/>
      <c r="T306" s="54"/>
      <c r="U306" s="54"/>
      <c r="V306" s="54"/>
      <c r="W306" s="54"/>
      <c r="X306" s="54"/>
    </row>
    <row r="307" spans="1:24" customFormat="1" ht="24" customHeight="1" x14ac:dyDescent="0.2">
      <c r="A307" s="58" t="s">
        <v>2540</v>
      </c>
      <c r="B307" s="122" t="s">
        <v>2541</v>
      </c>
      <c r="C307" s="59" t="s">
        <v>2540</v>
      </c>
      <c r="D307" s="272">
        <v>0</v>
      </c>
      <c r="E307" s="272">
        <v>0</v>
      </c>
      <c r="F307" s="60" t="str">
        <f t="shared" si="10"/>
        <v>-</v>
      </c>
      <c r="G307" s="54"/>
      <c r="H307" s="54"/>
      <c r="I307" s="54"/>
      <c r="J307" s="54"/>
      <c r="K307" s="54"/>
      <c r="L307" s="54"/>
      <c r="M307" s="54"/>
      <c r="N307" s="54"/>
      <c r="O307" s="54"/>
      <c r="P307" s="54"/>
      <c r="Q307" s="54"/>
      <c r="R307" s="54"/>
      <c r="S307" s="54"/>
      <c r="T307" s="54"/>
      <c r="U307" s="54"/>
      <c r="V307" s="54"/>
      <c r="W307" s="54"/>
      <c r="X307" s="54"/>
    </row>
    <row r="308" spans="1:24" customFormat="1" ht="12.75" customHeight="1" x14ac:dyDescent="0.2">
      <c r="A308" s="58" t="s">
        <v>2542</v>
      </c>
      <c r="B308" s="122" t="s">
        <v>2543</v>
      </c>
      <c r="C308" s="59" t="s">
        <v>2542</v>
      </c>
      <c r="D308" s="272">
        <v>0</v>
      </c>
      <c r="E308" s="272">
        <v>0</v>
      </c>
      <c r="F308" s="60" t="str">
        <f t="shared" si="10"/>
        <v>-</v>
      </c>
      <c r="G308" s="54"/>
      <c r="H308" s="54"/>
      <c r="I308" s="54"/>
      <c r="J308" s="54"/>
      <c r="K308" s="54"/>
      <c r="L308" s="54"/>
      <c r="M308" s="54"/>
      <c r="N308" s="54"/>
      <c r="O308" s="54"/>
      <c r="P308" s="54"/>
      <c r="Q308" s="54"/>
      <c r="R308" s="54"/>
      <c r="S308" s="54"/>
      <c r="T308" s="54"/>
      <c r="U308" s="54"/>
      <c r="V308" s="54"/>
      <c r="W308" s="54"/>
      <c r="X308" s="54"/>
    </row>
    <row r="309" spans="1:24" customFormat="1" ht="24" customHeight="1" x14ac:dyDescent="0.2">
      <c r="A309" s="58" t="s">
        <v>2544</v>
      </c>
      <c r="B309" s="122" t="s">
        <v>2545</v>
      </c>
      <c r="C309" s="59" t="s">
        <v>2544</v>
      </c>
      <c r="D309" s="272">
        <v>0</v>
      </c>
      <c r="E309" s="272">
        <v>0</v>
      </c>
      <c r="F309" s="60" t="str">
        <f t="shared" si="10"/>
        <v>-</v>
      </c>
      <c r="G309" s="54"/>
      <c r="H309" s="54"/>
      <c r="I309" s="54"/>
      <c r="J309" s="54"/>
      <c r="K309" s="54"/>
      <c r="L309" s="54"/>
      <c r="M309" s="54"/>
      <c r="N309" s="54"/>
      <c r="O309" s="54"/>
      <c r="P309" s="54"/>
      <c r="Q309" s="54"/>
      <c r="R309" s="54"/>
      <c r="S309" s="54"/>
      <c r="T309" s="54"/>
      <c r="U309" s="54"/>
      <c r="V309" s="54"/>
      <c r="W309" s="54"/>
      <c r="X309" s="54"/>
    </row>
    <row r="310" spans="1:24" customFormat="1" ht="24" customHeight="1" x14ac:dyDescent="0.2">
      <c r="A310" s="58" t="s">
        <v>2546</v>
      </c>
      <c r="B310" s="122" t="s">
        <v>2547</v>
      </c>
      <c r="C310" s="59" t="s">
        <v>2546</v>
      </c>
      <c r="D310" s="272">
        <v>0</v>
      </c>
      <c r="E310" s="272">
        <v>0</v>
      </c>
      <c r="F310" s="60" t="str">
        <f t="shared" si="10"/>
        <v>-</v>
      </c>
      <c r="G310" s="54"/>
      <c r="H310" s="54"/>
      <c r="I310" s="54"/>
      <c r="J310" s="54"/>
      <c r="K310" s="54"/>
      <c r="L310" s="54"/>
      <c r="M310" s="54"/>
      <c r="N310" s="54"/>
      <c r="O310" s="54"/>
      <c r="P310" s="54"/>
      <c r="Q310" s="54"/>
      <c r="R310" s="54"/>
      <c r="S310" s="54"/>
      <c r="T310" s="54"/>
      <c r="U310" s="54"/>
      <c r="V310" s="54"/>
      <c r="W310" s="54"/>
      <c r="X310" s="54"/>
    </row>
    <row r="311" spans="1:24" customFormat="1" ht="24" customHeight="1" x14ac:dyDescent="0.2">
      <c r="A311" s="58" t="s">
        <v>2548</v>
      </c>
      <c r="B311" s="122" t="s">
        <v>2549</v>
      </c>
      <c r="C311" s="59" t="s">
        <v>2548</v>
      </c>
      <c r="D311" s="272">
        <v>0</v>
      </c>
      <c r="E311" s="272">
        <v>0</v>
      </c>
      <c r="F311" s="60" t="str">
        <f t="shared" si="10"/>
        <v>-</v>
      </c>
      <c r="G311" s="54"/>
      <c r="H311" s="54"/>
      <c r="I311" s="54"/>
      <c r="J311" s="54"/>
      <c r="K311" s="54"/>
      <c r="L311" s="54"/>
      <c r="M311" s="54"/>
      <c r="N311" s="54"/>
      <c r="O311" s="54"/>
      <c r="P311" s="54"/>
      <c r="Q311" s="54"/>
      <c r="R311" s="54"/>
      <c r="S311" s="54"/>
      <c r="T311" s="54"/>
      <c r="U311" s="54"/>
      <c r="V311" s="54"/>
      <c r="W311" s="54"/>
      <c r="X311" s="54"/>
    </row>
    <row r="312" spans="1:24" customFormat="1" ht="24" customHeight="1" x14ac:dyDescent="0.2">
      <c r="A312" s="58" t="s">
        <v>1972</v>
      </c>
      <c r="B312" s="122" t="s">
        <v>1973</v>
      </c>
      <c r="C312" s="59" t="s">
        <v>1972</v>
      </c>
      <c r="D312" s="272">
        <v>0</v>
      </c>
      <c r="E312" s="272">
        <v>0</v>
      </c>
      <c r="F312" s="60" t="str">
        <f t="shared" si="10"/>
        <v>-</v>
      </c>
      <c r="G312" s="54"/>
      <c r="H312" s="54"/>
      <c r="I312" s="54"/>
      <c r="J312" s="54"/>
      <c r="K312" s="54"/>
      <c r="L312" s="54"/>
      <c r="M312" s="54"/>
      <c r="N312" s="54"/>
      <c r="O312" s="54"/>
      <c r="P312" s="54"/>
      <c r="Q312" s="54"/>
      <c r="R312" s="54"/>
      <c r="S312" s="54"/>
      <c r="T312" s="54"/>
      <c r="U312" s="54"/>
      <c r="V312" s="54"/>
      <c r="W312" s="54"/>
      <c r="X312" s="54"/>
    </row>
    <row r="313" spans="1:24" customFormat="1" ht="24" customHeight="1" x14ac:dyDescent="0.2">
      <c r="A313" s="58" t="s">
        <v>1974</v>
      </c>
      <c r="B313" s="122" t="s">
        <v>1975</v>
      </c>
      <c r="C313" s="59" t="s">
        <v>1974</v>
      </c>
      <c r="D313" s="272">
        <v>0</v>
      </c>
      <c r="E313" s="272">
        <v>0</v>
      </c>
      <c r="F313" s="60" t="str">
        <f t="shared" si="10"/>
        <v>-</v>
      </c>
      <c r="G313" s="54"/>
      <c r="H313" s="54"/>
      <c r="I313" s="54"/>
      <c r="J313" s="54"/>
      <c r="K313" s="54"/>
      <c r="L313" s="54"/>
      <c r="M313" s="54"/>
      <c r="N313" s="54"/>
      <c r="O313" s="54"/>
      <c r="P313" s="54"/>
      <c r="Q313" s="54"/>
      <c r="R313" s="54"/>
      <c r="S313" s="54"/>
      <c r="T313" s="54"/>
      <c r="U313" s="54"/>
      <c r="V313" s="54"/>
      <c r="W313" s="54"/>
      <c r="X313" s="54"/>
    </row>
    <row r="314" spans="1:24" customFormat="1" ht="12.75" customHeight="1" x14ac:dyDescent="0.2">
      <c r="A314" s="58" t="s">
        <v>1976</v>
      </c>
      <c r="B314" s="122" t="s">
        <v>1977</v>
      </c>
      <c r="C314" s="59" t="s">
        <v>1976</v>
      </c>
      <c r="D314" s="272">
        <v>0</v>
      </c>
      <c r="E314" s="272">
        <v>0</v>
      </c>
      <c r="F314" s="60" t="str">
        <f t="shared" si="10"/>
        <v>-</v>
      </c>
      <c r="G314" s="54"/>
      <c r="H314" s="54"/>
      <c r="I314" s="54"/>
      <c r="J314" s="54"/>
      <c r="K314" s="54"/>
      <c r="L314" s="54"/>
      <c r="M314" s="54"/>
      <c r="N314" s="54"/>
      <c r="O314" s="54"/>
      <c r="P314" s="54"/>
      <c r="Q314" s="54"/>
      <c r="R314" s="54"/>
      <c r="S314" s="54"/>
      <c r="T314" s="54"/>
      <c r="U314" s="54"/>
      <c r="V314" s="54"/>
      <c r="W314" s="54"/>
      <c r="X314" s="54"/>
    </row>
    <row r="315" spans="1:24" customFormat="1" ht="12.75" customHeight="1" x14ac:dyDescent="0.2">
      <c r="A315" s="58" t="s">
        <v>2550</v>
      </c>
      <c r="B315" s="122" t="s">
        <v>2551</v>
      </c>
      <c r="C315" s="59" t="s">
        <v>2550</v>
      </c>
      <c r="D315" s="272">
        <v>0</v>
      </c>
      <c r="E315" s="272">
        <v>0</v>
      </c>
      <c r="F315" s="60" t="str">
        <f t="shared" si="10"/>
        <v>-</v>
      </c>
      <c r="G315" s="54"/>
      <c r="H315" s="54"/>
      <c r="I315" s="54"/>
      <c r="J315" s="54"/>
      <c r="K315" s="54"/>
      <c r="L315" s="54"/>
      <c r="M315" s="54"/>
      <c r="N315" s="54"/>
      <c r="O315" s="54"/>
      <c r="P315" s="54"/>
      <c r="Q315" s="54"/>
      <c r="R315" s="54"/>
      <c r="S315" s="54"/>
      <c r="T315" s="54"/>
      <c r="U315" s="54"/>
      <c r="V315" s="54"/>
      <c r="W315" s="54"/>
      <c r="X315" s="54"/>
    </row>
    <row r="316" spans="1:24" customFormat="1" ht="12.75" customHeight="1" x14ac:dyDescent="0.2">
      <c r="A316" s="58" t="s">
        <v>2552</v>
      </c>
      <c r="B316" s="122" t="s">
        <v>2553</v>
      </c>
      <c r="C316" s="59" t="s">
        <v>2552</v>
      </c>
      <c r="D316" s="272">
        <v>0</v>
      </c>
      <c r="E316" s="272">
        <v>0</v>
      </c>
      <c r="F316" s="60" t="str">
        <f t="shared" si="10"/>
        <v>-</v>
      </c>
      <c r="G316" s="54"/>
      <c r="H316" s="54"/>
      <c r="I316" s="54"/>
      <c r="J316" s="54"/>
      <c r="K316" s="54"/>
      <c r="L316" s="54"/>
      <c r="M316" s="54"/>
      <c r="N316" s="54"/>
      <c r="O316" s="54"/>
      <c r="P316" s="54"/>
      <c r="Q316" s="54"/>
      <c r="R316" s="54"/>
      <c r="S316" s="54"/>
      <c r="T316" s="54"/>
      <c r="U316" s="54"/>
      <c r="V316" s="54"/>
      <c r="W316" s="54"/>
      <c r="X316" s="54"/>
    </row>
    <row r="317" spans="1:24" customFormat="1" ht="12.75" customHeight="1" x14ac:dyDescent="0.2">
      <c r="A317" s="58" t="s">
        <v>1981</v>
      </c>
      <c r="B317" s="122" t="s">
        <v>1982</v>
      </c>
      <c r="C317" s="59" t="s">
        <v>1981</v>
      </c>
      <c r="D317" s="272">
        <v>0</v>
      </c>
      <c r="E317" s="272">
        <v>0</v>
      </c>
      <c r="F317" s="60" t="str">
        <f t="shared" si="10"/>
        <v>-</v>
      </c>
      <c r="G317" s="54"/>
      <c r="H317" s="54"/>
      <c r="I317" s="54"/>
      <c r="J317" s="54"/>
      <c r="K317" s="54"/>
      <c r="L317" s="54"/>
      <c r="M317" s="54"/>
      <c r="N317" s="54"/>
      <c r="O317" s="54"/>
      <c r="P317" s="54"/>
      <c r="Q317" s="54"/>
      <c r="R317" s="54"/>
      <c r="S317" s="54"/>
      <c r="T317" s="54"/>
      <c r="U317" s="54"/>
      <c r="V317" s="54"/>
      <c r="W317" s="54"/>
      <c r="X317" s="54"/>
    </row>
    <row r="318" spans="1:24" customFormat="1" ht="12.75" customHeight="1" x14ac:dyDescent="0.2">
      <c r="A318" s="58" t="s">
        <v>2554</v>
      </c>
      <c r="B318" s="122" t="s">
        <v>2555</v>
      </c>
      <c r="C318" s="59" t="s">
        <v>2554</v>
      </c>
      <c r="D318" s="272">
        <v>0</v>
      </c>
      <c r="E318" s="272">
        <v>0</v>
      </c>
      <c r="F318" s="60" t="str">
        <f t="shared" si="10"/>
        <v>-</v>
      </c>
      <c r="G318" s="54"/>
      <c r="H318" s="54"/>
      <c r="I318" s="54"/>
      <c r="J318" s="54"/>
      <c r="K318" s="54"/>
      <c r="L318" s="54"/>
      <c r="M318" s="54"/>
      <c r="N318" s="54"/>
      <c r="O318" s="54"/>
      <c r="P318" s="54"/>
      <c r="Q318" s="54"/>
      <c r="R318" s="54"/>
      <c r="S318" s="54"/>
      <c r="T318" s="54"/>
      <c r="U318" s="54"/>
      <c r="V318" s="54"/>
      <c r="W318" s="54"/>
      <c r="X318" s="54"/>
    </row>
    <row r="319" spans="1:24" customFormat="1" ht="24" customHeight="1" x14ac:dyDescent="0.2">
      <c r="A319" s="58" t="s">
        <v>1983</v>
      </c>
      <c r="B319" s="122" t="s">
        <v>1984</v>
      </c>
      <c r="C319" s="59" t="s">
        <v>1983</v>
      </c>
      <c r="D319" s="272">
        <v>0</v>
      </c>
      <c r="E319" s="272">
        <v>0</v>
      </c>
      <c r="F319" s="60" t="str">
        <f t="shared" si="10"/>
        <v>-</v>
      </c>
      <c r="G319" s="54"/>
      <c r="H319" s="54"/>
      <c r="I319" s="54"/>
      <c r="J319" s="54"/>
      <c r="K319" s="54"/>
      <c r="L319" s="54"/>
      <c r="M319" s="54"/>
      <c r="N319" s="54"/>
      <c r="O319" s="54"/>
      <c r="P319" s="54"/>
      <c r="Q319" s="54"/>
      <c r="R319" s="54"/>
      <c r="S319" s="54"/>
      <c r="T319" s="54"/>
      <c r="U319" s="54"/>
      <c r="V319" s="54"/>
      <c r="W319" s="54"/>
      <c r="X319" s="54"/>
    </row>
    <row r="320" spans="1:24" customFormat="1" ht="12.75" customHeight="1" x14ac:dyDescent="0.2">
      <c r="A320" s="58" t="s">
        <v>2556</v>
      </c>
      <c r="B320" s="122" t="s">
        <v>2557</v>
      </c>
      <c r="C320" s="59" t="s">
        <v>2556</v>
      </c>
      <c r="D320" s="272">
        <v>0</v>
      </c>
      <c r="E320" s="272">
        <v>0</v>
      </c>
      <c r="F320" s="60" t="str">
        <f t="shared" si="10"/>
        <v>-</v>
      </c>
      <c r="G320" s="54"/>
      <c r="H320" s="54"/>
      <c r="I320" s="54"/>
      <c r="J320" s="54"/>
      <c r="K320" s="54"/>
      <c r="L320" s="54"/>
      <c r="M320" s="54"/>
      <c r="N320" s="54"/>
      <c r="O320" s="54"/>
      <c r="P320" s="54"/>
      <c r="Q320" s="54"/>
      <c r="R320" s="54"/>
      <c r="S320" s="54"/>
      <c r="T320" s="54"/>
      <c r="U320" s="54"/>
      <c r="V320" s="54"/>
      <c r="W320" s="54"/>
      <c r="X320" s="54"/>
    </row>
    <row r="321" spans="1:24" customFormat="1" ht="12.75" customHeight="1" x14ac:dyDescent="0.2">
      <c r="A321" s="58" t="s">
        <v>2558</v>
      </c>
      <c r="B321" s="122" t="s">
        <v>2559</v>
      </c>
      <c r="C321" s="59" t="s">
        <v>2558</v>
      </c>
      <c r="D321" s="272">
        <v>0</v>
      </c>
      <c r="E321" s="272">
        <v>0</v>
      </c>
      <c r="F321" s="60" t="str">
        <f t="shared" si="10"/>
        <v>-</v>
      </c>
      <c r="G321" s="54"/>
      <c r="H321" s="54"/>
      <c r="I321" s="54"/>
      <c r="J321" s="54"/>
      <c r="K321" s="54"/>
      <c r="L321" s="54"/>
      <c r="M321" s="54"/>
      <c r="N321" s="54"/>
      <c r="O321" s="54"/>
      <c r="P321" s="54"/>
      <c r="Q321" s="54"/>
      <c r="R321" s="54"/>
      <c r="S321" s="54"/>
      <c r="T321" s="54"/>
      <c r="U321" s="54"/>
      <c r="V321" s="54"/>
      <c r="W321" s="54"/>
      <c r="X321" s="54"/>
    </row>
    <row r="322" spans="1:24" customFormat="1" ht="12.75" customHeight="1" x14ac:dyDescent="0.2">
      <c r="A322" s="62" t="s">
        <v>2560</v>
      </c>
      <c r="B322" s="124" t="s">
        <v>2561</v>
      </c>
      <c r="C322" s="67" t="s">
        <v>2560</v>
      </c>
      <c r="D322" s="273">
        <v>0</v>
      </c>
      <c r="E322" s="273">
        <v>0</v>
      </c>
      <c r="F322" s="64" t="str">
        <f t="shared" si="10"/>
        <v>-</v>
      </c>
      <c r="G322" s="54"/>
      <c r="H322" s="54"/>
      <c r="I322" s="54"/>
      <c r="J322" s="54"/>
      <c r="K322" s="54"/>
      <c r="L322" s="54"/>
      <c r="M322" s="54"/>
      <c r="N322" s="54"/>
      <c r="O322" s="54"/>
      <c r="P322" s="54"/>
      <c r="Q322" s="54"/>
      <c r="R322" s="54"/>
      <c r="S322" s="54"/>
      <c r="T322" s="54"/>
      <c r="U322" s="54"/>
      <c r="V322" s="54"/>
      <c r="W322" s="54"/>
      <c r="X322" s="54"/>
    </row>
    <row r="323" spans="1:24" customFormat="1" ht="15" customHeight="1" x14ac:dyDescent="0.2">
      <c r="A323" s="112"/>
      <c r="B323" s="125"/>
      <c r="C323" s="113"/>
      <c r="D323" s="68"/>
      <c r="E323" s="68"/>
      <c r="F323" s="57"/>
      <c r="G323" s="54"/>
      <c r="H323" s="54"/>
      <c r="I323" s="54"/>
      <c r="J323" s="54"/>
      <c r="K323" s="54"/>
      <c r="L323" s="54"/>
      <c r="M323" s="54"/>
      <c r="N323" s="54"/>
      <c r="O323" s="54"/>
      <c r="P323" s="54"/>
      <c r="Q323" s="54"/>
      <c r="R323" s="54"/>
      <c r="S323" s="54"/>
      <c r="T323" s="54"/>
      <c r="U323" s="54"/>
      <c r="V323" s="54"/>
      <c r="W323" s="54"/>
      <c r="X323" s="54"/>
    </row>
    <row r="324" spans="1:24" customFormat="1" ht="15" customHeight="1" x14ac:dyDescent="0.2">
      <c r="A324" s="112"/>
      <c r="B324" s="125"/>
      <c r="C324" s="113"/>
      <c r="D324" s="57"/>
      <c r="E324" s="57"/>
      <c r="F324" s="57"/>
      <c r="G324" s="54"/>
      <c r="H324" s="54"/>
      <c r="I324" s="54"/>
      <c r="J324" s="54"/>
      <c r="K324" s="54"/>
      <c r="L324" s="54"/>
      <c r="M324" s="54"/>
      <c r="N324" s="54"/>
      <c r="O324" s="54"/>
      <c r="P324" s="54"/>
      <c r="Q324" s="54"/>
      <c r="R324" s="54"/>
      <c r="S324" s="54"/>
      <c r="T324" s="54"/>
      <c r="U324" s="54"/>
      <c r="V324" s="54"/>
      <c r="W324" s="54"/>
      <c r="X324" s="54"/>
    </row>
    <row r="325" spans="1:24" customFormat="1" ht="15" customHeight="1" x14ac:dyDescent="0.2">
      <c r="A325" s="112"/>
      <c r="B325" s="125"/>
      <c r="C325" s="113"/>
      <c r="D325" s="57"/>
      <c r="E325" s="57"/>
      <c r="F325" s="57"/>
      <c r="G325" s="54"/>
      <c r="H325" s="54"/>
      <c r="I325" s="54"/>
      <c r="J325" s="54"/>
      <c r="K325" s="54"/>
      <c r="L325" s="54"/>
      <c r="M325" s="54"/>
      <c r="N325" s="54"/>
      <c r="O325" s="54"/>
      <c r="P325" s="54"/>
      <c r="Q325" s="54"/>
      <c r="R325" s="54"/>
      <c r="S325" s="54"/>
      <c r="T325" s="54"/>
      <c r="U325" s="54"/>
      <c r="V325" s="54"/>
      <c r="W325" s="54"/>
      <c r="X325" s="54"/>
    </row>
    <row r="326" spans="1:24" customFormat="1" ht="15" customHeight="1" x14ac:dyDescent="0.2">
      <c r="A326" s="112"/>
      <c r="B326" s="125"/>
      <c r="C326" s="113"/>
      <c r="D326" s="57"/>
      <c r="E326" s="57"/>
      <c r="F326" s="57"/>
      <c r="G326" s="54"/>
      <c r="H326" s="54"/>
      <c r="I326" s="54"/>
      <c r="J326" s="54"/>
      <c r="K326" s="54"/>
      <c r="L326" s="54"/>
      <c r="M326" s="54"/>
      <c r="N326" s="54"/>
      <c r="O326" s="54"/>
      <c r="P326" s="54"/>
      <c r="Q326" s="54"/>
      <c r="R326" s="54"/>
      <c r="S326" s="54"/>
      <c r="T326" s="54"/>
      <c r="U326" s="54"/>
      <c r="V326" s="54"/>
      <c r="W326" s="54"/>
      <c r="X326" s="54"/>
    </row>
    <row r="327" spans="1:24" customFormat="1" ht="15" customHeight="1" x14ac:dyDescent="0.2">
      <c r="A327" s="112"/>
      <c r="B327" s="125"/>
      <c r="C327" s="113"/>
      <c r="D327" s="57"/>
      <c r="E327" s="57"/>
      <c r="F327" s="57"/>
      <c r="G327" s="54"/>
      <c r="H327" s="54"/>
      <c r="I327" s="54"/>
      <c r="J327" s="54"/>
      <c r="K327" s="54"/>
      <c r="L327" s="54"/>
      <c r="M327" s="54"/>
      <c r="N327" s="54"/>
      <c r="O327" s="54"/>
      <c r="P327" s="54"/>
      <c r="Q327" s="54"/>
      <c r="R327" s="54"/>
      <c r="S327" s="54"/>
      <c r="T327" s="54"/>
      <c r="U327" s="54"/>
      <c r="V327" s="54"/>
      <c r="W327" s="54"/>
      <c r="X327" s="54"/>
    </row>
    <row r="328" spans="1:24" customFormat="1" ht="15" customHeight="1" x14ac:dyDescent="0.2">
      <c r="A328" s="112"/>
      <c r="B328" s="125"/>
      <c r="C328" s="113"/>
      <c r="D328" s="57"/>
      <c r="E328" s="57"/>
      <c r="F328" s="57"/>
      <c r="G328" s="54"/>
      <c r="H328" s="54"/>
      <c r="I328" s="54"/>
      <c r="J328" s="54"/>
      <c r="K328" s="54"/>
      <c r="L328" s="54"/>
      <c r="M328" s="54"/>
      <c r="N328" s="54"/>
      <c r="O328" s="54"/>
      <c r="P328" s="54"/>
      <c r="Q328" s="54"/>
      <c r="R328" s="54"/>
      <c r="S328" s="54"/>
      <c r="T328" s="54"/>
      <c r="U328" s="54"/>
      <c r="V328" s="54"/>
      <c r="W328" s="54"/>
      <c r="X328" s="54"/>
    </row>
    <row r="329" spans="1:24" customFormat="1" ht="15" customHeight="1" x14ac:dyDescent="0.2">
      <c r="A329" s="112"/>
      <c r="B329" s="125"/>
      <c r="C329" s="113"/>
      <c r="D329" s="57"/>
      <c r="E329" s="57"/>
      <c r="F329" s="57"/>
      <c r="G329" s="54"/>
      <c r="H329" s="54"/>
      <c r="I329" s="54"/>
      <c r="J329" s="54"/>
      <c r="K329" s="54"/>
      <c r="L329" s="54"/>
      <c r="M329" s="54"/>
      <c r="N329" s="54"/>
      <c r="O329" s="54"/>
      <c r="P329" s="54"/>
      <c r="Q329" s="54"/>
      <c r="R329" s="54"/>
      <c r="S329" s="54"/>
      <c r="T329" s="54"/>
      <c r="U329" s="54"/>
      <c r="V329" s="54"/>
      <c r="W329" s="54"/>
      <c r="X329" s="54"/>
    </row>
    <row r="330" spans="1:24" customFormat="1" ht="15" customHeight="1" x14ac:dyDescent="0.2">
      <c r="A330" s="112"/>
      <c r="B330" s="125"/>
      <c r="C330" s="113"/>
      <c r="D330" s="57"/>
      <c r="E330" s="57"/>
      <c r="F330" s="57"/>
      <c r="G330" s="54"/>
      <c r="H330" s="54"/>
      <c r="I330" s="54"/>
      <c r="J330" s="54"/>
      <c r="K330" s="54"/>
      <c r="L330" s="54"/>
      <c r="M330" s="54"/>
      <c r="N330" s="54"/>
      <c r="O330" s="54"/>
      <c r="P330" s="54"/>
      <c r="Q330" s="54"/>
      <c r="R330" s="54"/>
      <c r="S330" s="54"/>
      <c r="T330" s="54"/>
      <c r="U330" s="54"/>
      <c r="V330" s="54"/>
      <c r="W330" s="54"/>
      <c r="X330" s="54"/>
    </row>
    <row r="331" spans="1:24" customFormat="1" ht="15" customHeight="1" x14ac:dyDescent="0.2">
      <c r="A331" s="112"/>
      <c r="B331" s="125"/>
      <c r="C331" s="113"/>
      <c r="D331" s="57"/>
      <c r="E331" s="57"/>
      <c r="F331" s="57"/>
      <c r="G331" s="54"/>
      <c r="H331" s="54"/>
      <c r="I331" s="54"/>
      <c r="J331" s="54"/>
      <c r="K331" s="54"/>
      <c r="L331" s="54"/>
      <c r="M331" s="54"/>
      <c r="N331" s="54"/>
      <c r="O331" s="54"/>
      <c r="P331" s="54"/>
      <c r="Q331" s="54"/>
      <c r="R331" s="54"/>
      <c r="S331" s="54"/>
      <c r="T331" s="54"/>
      <c r="U331" s="54"/>
      <c r="V331" s="54"/>
      <c r="W331" s="54"/>
      <c r="X331" s="54"/>
    </row>
    <row r="332" spans="1:24" customFormat="1" ht="15" customHeight="1" x14ac:dyDescent="0.2">
      <c r="A332" s="112"/>
      <c r="B332" s="125"/>
      <c r="C332" s="113"/>
      <c r="D332" s="57"/>
      <c r="E332" s="57"/>
      <c r="F332" s="57"/>
      <c r="G332" s="54"/>
      <c r="H332" s="54"/>
      <c r="I332" s="54"/>
      <c r="J332" s="54"/>
      <c r="K332" s="54"/>
      <c r="L332" s="54"/>
      <c r="M332" s="54"/>
      <c r="N332" s="54"/>
      <c r="O332" s="54"/>
      <c r="P332" s="54"/>
      <c r="Q332" s="54"/>
      <c r="R332" s="54"/>
      <c r="S332" s="54"/>
      <c r="T332" s="54"/>
      <c r="U332" s="54"/>
      <c r="V332" s="54"/>
      <c r="W332" s="54"/>
      <c r="X332" s="54"/>
    </row>
    <row r="333" spans="1:24" customFormat="1" ht="15" customHeight="1" x14ac:dyDescent="0.2">
      <c r="A333" s="112"/>
      <c r="B333" s="125"/>
      <c r="C333" s="113"/>
      <c r="D333" s="57"/>
      <c r="E333" s="57"/>
      <c r="F333" s="57"/>
      <c r="G333" s="54"/>
      <c r="H333" s="54"/>
      <c r="I333" s="54"/>
      <c r="J333" s="54"/>
      <c r="K333" s="54"/>
      <c r="L333" s="54"/>
      <c r="M333" s="54"/>
      <c r="N333" s="54"/>
      <c r="O333" s="54"/>
      <c r="P333" s="54"/>
      <c r="Q333" s="54"/>
      <c r="R333" s="54"/>
      <c r="S333" s="54"/>
      <c r="T333" s="54"/>
      <c r="U333" s="54"/>
      <c r="V333" s="54"/>
      <c r="W333" s="54"/>
      <c r="X333" s="54"/>
    </row>
    <row r="334" spans="1:24" customFormat="1" ht="15" customHeight="1" x14ac:dyDescent="0.2">
      <c r="A334" s="112"/>
      <c r="B334" s="125"/>
      <c r="C334" s="113"/>
      <c r="D334" s="57"/>
      <c r="E334" s="57"/>
      <c r="F334" s="57"/>
      <c r="G334" s="54"/>
      <c r="H334" s="54"/>
      <c r="I334" s="54"/>
      <c r="J334" s="54"/>
      <c r="K334" s="54"/>
      <c r="L334" s="54"/>
      <c r="M334" s="54"/>
      <c r="N334" s="54"/>
      <c r="O334" s="54"/>
      <c r="P334" s="54"/>
      <c r="Q334" s="54"/>
      <c r="R334" s="54"/>
      <c r="S334" s="54"/>
      <c r="T334" s="54"/>
      <c r="U334" s="54"/>
      <c r="V334" s="54"/>
      <c r="W334" s="54"/>
      <c r="X334" s="54"/>
    </row>
    <row r="335" spans="1:24" customFormat="1" ht="15" customHeight="1" x14ac:dyDescent="0.2">
      <c r="A335" s="112"/>
      <c r="B335" s="125"/>
      <c r="C335" s="113"/>
      <c r="D335" s="57"/>
      <c r="E335" s="57"/>
      <c r="F335" s="57"/>
      <c r="G335" s="54"/>
      <c r="H335" s="54"/>
      <c r="I335" s="54"/>
      <c r="J335" s="54"/>
      <c r="K335" s="54"/>
      <c r="L335" s="54"/>
      <c r="M335" s="54"/>
      <c r="N335" s="54"/>
      <c r="O335" s="54"/>
      <c r="P335" s="54"/>
      <c r="Q335" s="54"/>
      <c r="R335" s="54"/>
      <c r="S335" s="54"/>
      <c r="T335" s="54"/>
      <c r="U335" s="54"/>
      <c r="V335" s="54"/>
      <c r="W335" s="54"/>
      <c r="X335" s="54"/>
    </row>
    <row r="336" spans="1:24" customFormat="1" ht="15" customHeight="1" x14ac:dyDescent="0.2">
      <c r="A336" s="112"/>
      <c r="B336" s="125"/>
      <c r="C336" s="113"/>
      <c r="D336" s="57"/>
      <c r="E336" s="57"/>
      <c r="F336" s="57"/>
      <c r="G336" s="54"/>
      <c r="H336" s="54"/>
      <c r="I336" s="54"/>
      <c r="J336" s="54"/>
      <c r="K336" s="54"/>
      <c r="L336" s="54"/>
      <c r="M336" s="54"/>
      <c r="N336" s="54"/>
      <c r="O336" s="54"/>
      <c r="P336" s="54"/>
      <c r="Q336" s="54"/>
      <c r="R336" s="54"/>
      <c r="S336" s="54"/>
      <c r="T336" s="54"/>
      <c r="U336" s="54"/>
      <c r="V336" s="54"/>
      <c r="W336" s="54"/>
      <c r="X336" s="54"/>
    </row>
    <row r="337" spans="1:24" customFormat="1" ht="15" customHeight="1" x14ac:dyDescent="0.2">
      <c r="A337" s="112"/>
      <c r="B337" s="125"/>
      <c r="C337" s="113"/>
      <c r="D337" s="57"/>
      <c r="E337" s="57"/>
      <c r="F337" s="57"/>
      <c r="G337" s="54"/>
      <c r="H337" s="54"/>
      <c r="I337" s="54"/>
      <c r="J337" s="54"/>
      <c r="K337" s="54"/>
      <c r="L337" s="54"/>
      <c r="M337" s="54"/>
      <c r="N337" s="54"/>
      <c r="O337" s="54"/>
      <c r="P337" s="54"/>
      <c r="Q337" s="54"/>
      <c r="R337" s="54"/>
      <c r="S337" s="54"/>
      <c r="T337" s="54"/>
      <c r="U337" s="54"/>
      <c r="V337" s="54"/>
      <c r="W337" s="54"/>
      <c r="X337" s="54"/>
    </row>
    <row r="338" spans="1:24" customFormat="1" ht="15" customHeight="1" x14ac:dyDescent="0.2">
      <c r="A338" s="112"/>
      <c r="B338" s="125"/>
      <c r="C338" s="113"/>
      <c r="D338" s="57"/>
      <c r="E338" s="57"/>
      <c r="F338" s="57"/>
      <c r="G338" s="54"/>
      <c r="H338" s="54"/>
      <c r="I338" s="54"/>
      <c r="J338" s="54"/>
      <c r="K338" s="54"/>
      <c r="L338" s="54"/>
      <c r="M338" s="54"/>
      <c r="N338" s="54"/>
      <c r="O338" s="54"/>
      <c r="P338" s="54"/>
      <c r="Q338" s="54"/>
      <c r="R338" s="54"/>
      <c r="S338" s="54"/>
      <c r="T338" s="54"/>
      <c r="U338" s="54"/>
      <c r="V338" s="54"/>
      <c r="W338" s="54"/>
      <c r="X338" s="54"/>
    </row>
    <row r="339" spans="1:24" customFormat="1" ht="15" customHeight="1" x14ac:dyDescent="0.2">
      <c r="A339" s="112"/>
      <c r="B339" s="125"/>
      <c r="C339" s="113"/>
      <c r="D339" s="57"/>
      <c r="E339" s="57"/>
      <c r="F339" s="57"/>
      <c r="G339" s="54"/>
      <c r="H339" s="54"/>
      <c r="I339" s="54"/>
      <c r="J339" s="54"/>
      <c r="K339" s="54"/>
      <c r="L339" s="54"/>
      <c r="M339" s="54"/>
      <c r="N339" s="54"/>
      <c r="O339" s="54"/>
      <c r="P339" s="54"/>
      <c r="Q339" s="54"/>
      <c r="R339" s="54"/>
      <c r="S339" s="54"/>
      <c r="T339" s="54"/>
      <c r="U339" s="54"/>
      <c r="V339" s="54"/>
      <c r="W339" s="54"/>
      <c r="X339" s="54"/>
    </row>
    <row r="340" spans="1:24" customFormat="1" ht="15" customHeight="1" x14ac:dyDescent="0.2">
      <c r="A340" s="112"/>
      <c r="B340" s="125"/>
      <c r="C340" s="113"/>
      <c r="D340" s="57"/>
      <c r="E340" s="57"/>
      <c r="F340" s="57"/>
      <c r="G340" s="54"/>
      <c r="H340" s="54"/>
      <c r="I340" s="54"/>
      <c r="J340" s="54"/>
      <c r="K340" s="54"/>
      <c r="L340" s="54"/>
      <c r="M340" s="54"/>
      <c r="N340" s="54"/>
      <c r="O340" s="54"/>
      <c r="P340" s="54"/>
      <c r="Q340" s="54"/>
      <c r="R340" s="54"/>
      <c r="S340" s="54"/>
      <c r="T340" s="54"/>
      <c r="U340" s="54"/>
      <c r="V340" s="54"/>
      <c r="W340" s="54"/>
      <c r="X340" s="54"/>
    </row>
    <row r="341" spans="1:24" customFormat="1" ht="15" customHeight="1" x14ac:dyDescent="0.2">
      <c r="A341" s="112"/>
      <c r="B341" s="125"/>
      <c r="C341" s="113"/>
      <c r="D341" s="57"/>
      <c r="E341" s="57"/>
      <c r="F341" s="57"/>
      <c r="G341" s="54"/>
      <c r="H341" s="54"/>
      <c r="I341" s="54"/>
      <c r="J341" s="54"/>
      <c r="K341" s="54"/>
      <c r="L341" s="54"/>
      <c r="M341" s="54"/>
      <c r="N341" s="54"/>
      <c r="O341" s="54"/>
      <c r="P341" s="54"/>
      <c r="Q341" s="54"/>
      <c r="R341" s="54"/>
      <c r="S341" s="54"/>
      <c r="T341" s="54"/>
      <c r="U341" s="54"/>
      <c r="V341" s="54"/>
      <c r="W341" s="54"/>
      <c r="X341" s="54"/>
    </row>
    <row r="342" spans="1:24" customFormat="1" ht="15" customHeight="1" x14ac:dyDescent="0.2">
      <c r="A342" s="112"/>
      <c r="B342" s="125"/>
      <c r="C342" s="113"/>
      <c r="D342" s="57"/>
      <c r="E342" s="57"/>
      <c r="F342" s="57"/>
      <c r="G342" s="54"/>
      <c r="H342" s="54"/>
      <c r="I342" s="54"/>
      <c r="J342" s="54"/>
      <c r="K342" s="54"/>
      <c r="L342" s="54"/>
      <c r="M342" s="54"/>
      <c r="N342" s="54"/>
      <c r="O342" s="54"/>
      <c r="P342" s="54"/>
      <c r="Q342" s="54"/>
      <c r="R342" s="54"/>
      <c r="S342" s="54"/>
      <c r="T342" s="54"/>
      <c r="U342" s="54"/>
      <c r="V342" s="54"/>
      <c r="W342" s="54"/>
      <c r="X342" s="54"/>
    </row>
    <row r="343" spans="1:24" customFormat="1" ht="15" customHeight="1" x14ac:dyDescent="0.2">
      <c r="A343" s="112"/>
      <c r="B343" s="125"/>
      <c r="C343" s="113"/>
      <c r="D343" s="57"/>
      <c r="E343" s="57"/>
      <c r="F343" s="57"/>
      <c r="G343" s="54"/>
      <c r="H343" s="54"/>
      <c r="I343" s="54"/>
      <c r="J343" s="54"/>
      <c r="K343" s="54"/>
      <c r="L343" s="54"/>
      <c r="M343" s="54"/>
      <c r="N343" s="54"/>
      <c r="O343" s="54"/>
      <c r="P343" s="54"/>
      <c r="Q343" s="54"/>
      <c r="R343" s="54"/>
      <c r="S343" s="54"/>
      <c r="T343" s="54"/>
      <c r="U343" s="54"/>
      <c r="V343" s="54"/>
      <c r="W343" s="54"/>
      <c r="X343" s="54"/>
    </row>
    <row r="344" spans="1:24" customFormat="1" ht="15" customHeight="1" x14ac:dyDescent="0.2">
      <c r="A344" s="112"/>
      <c r="B344" s="125"/>
      <c r="C344" s="113"/>
      <c r="D344" s="57"/>
      <c r="E344" s="57"/>
      <c r="F344" s="57"/>
      <c r="G344" s="54"/>
      <c r="H344" s="54"/>
      <c r="I344" s="54"/>
      <c r="J344" s="54"/>
      <c r="K344" s="54"/>
      <c r="L344" s="54"/>
      <c r="M344" s="54"/>
      <c r="N344" s="54"/>
      <c r="O344" s="54"/>
      <c r="P344" s="54"/>
      <c r="Q344" s="54"/>
      <c r="R344" s="54"/>
      <c r="S344" s="54"/>
      <c r="T344" s="54"/>
      <c r="U344" s="54"/>
      <c r="V344" s="54"/>
      <c r="W344" s="54"/>
      <c r="X344" s="54"/>
    </row>
    <row r="345" spans="1:24" customFormat="1" ht="15" customHeight="1" x14ac:dyDescent="0.2">
      <c r="A345" s="112"/>
      <c r="B345" s="125"/>
      <c r="C345" s="113"/>
      <c r="D345" s="57"/>
      <c r="E345" s="57"/>
      <c r="F345" s="57"/>
      <c r="G345" s="54"/>
      <c r="H345" s="54"/>
      <c r="I345" s="54"/>
      <c r="J345" s="54"/>
      <c r="K345" s="54"/>
      <c r="L345" s="54"/>
      <c r="M345" s="54"/>
      <c r="N345" s="54"/>
      <c r="O345" s="54"/>
      <c r="P345" s="54"/>
      <c r="Q345" s="54"/>
      <c r="R345" s="54"/>
      <c r="S345" s="54"/>
      <c r="T345" s="54"/>
      <c r="U345" s="54"/>
      <c r="V345" s="54"/>
      <c r="W345" s="54"/>
      <c r="X345" s="54"/>
    </row>
    <row r="346" spans="1:24" customFormat="1" ht="15" customHeight="1" x14ac:dyDescent="0.2">
      <c r="A346" s="112"/>
      <c r="B346" s="125"/>
      <c r="C346" s="113"/>
      <c r="D346" s="57"/>
      <c r="E346" s="57"/>
      <c r="F346" s="57"/>
      <c r="G346" s="54"/>
      <c r="H346" s="54"/>
      <c r="I346" s="54"/>
      <c r="J346" s="54"/>
      <c r="K346" s="54"/>
      <c r="L346" s="54"/>
      <c r="M346" s="54"/>
      <c r="N346" s="54"/>
      <c r="O346" s="54"/>
      <c r="P346" s="54"/>
      <c r="Q346" s="54"/>
      <c r="R346" s="54"/>
      <c r="S346" s="54"/>
      <c r="T346" s="54"/>
      <c r="U346" s="54"/>
      <c r="V346" s="54"/>
      <c r="W346" s="54"/>
      <c r="X346" s="54"/>
    </row>
    <row r="347" spans="1:24" customFormat="1" ht="15" customHeight="1" x14ac:dyDescent="0.2">
      <c r="A347" s="112"/>
      <c r="B347" s="125"/>
      <c r="C347" s="113"/>
      <c r="D347" s="57"/>
      <c r="E347" s="57"/>
      <c r="F347" s="57"/>
      <c r="G347" s="54"/>
      <c r="H347" s="54"/>
      <c r="I347" s="54"/>
      <c r="J347" s="54"/>
      <c r="K347" s="54"/>
      <c r="L347" s="54"/>
      <c r="M347" s="54"/>
      <c r="N347" s="54"/>
      <c r="O347" s="54"/>
      <c r="P347" s="54"/>
      <c r="Q347" s="54"/>
      <c r="R347" s="54"/>
      <c r="S347" s="54"/>
      <c r="T347" s="54"/>
      <c r="U347" s="54"/>
      <c r="V347" s="54"/>
      <c r="W347" s="54"/>
      <c r="X347" s="54"/>
    </row>
    <row r="348" spans="1:24" customFormat="1" ht="15" customHeight="1" x14ac:dyDescent="0.2">
      <c r="A348" s="112"/>
      <c r="B348" s="125"/>
      <c r="C348" s="113"/>
      <c r="D348" s="57"/>
      <c r="E348" s="57"/>
      <c r="F348" s="57"/>
      <c r="G348" s="54"/>
      <c r="H348" s="54"/>
      <c r="I348" s="54"/>
      <c r="J348" s="54"/>
      <c r="K348" s="54"/>
      <c r="L348" s="54"/>
      <c r="M348" s="54"/>
      <c r="N348" s="54"/>
      <c r="O348" s="54"/>
      <c r="P348" s="54"/>
      <c r="Q348" s="54"/>
      <c r="R348" s="54"/>
      <c r="S348" s="54"/>
      <c r="T348" s="54"/>
      <c r="U348" s="54"/>
      <c r="V348" s="54"/>
      <c r="W348" s="54"/>
      <c r="X348" s="54"/>
    </row>
    <row r="349" spans="1:24" customFormat="1" ht="15" customHeight="1" x14ac:dyDescent="0.2">
      <c r="A349" s="112"/>
      <c r="B349" s="125"/>
      <c r="C349" s="113"/>
      <c r="D349" s="57"/>
      <c r="E349" s="57"/>
      <c r="F349" s="57"/>
      <c r="G349" s="54"/>
      <c r="H349" s="54"/>
      <c r="I349" s="54"/>
      <c r="J349" s="54"/>
      <c r="K349" s="54"/>
      <c r="L349" s="54"/>
      <c r="M349" s="54"/>
      <c r="N349" s="54"/>
      <c r="O349" s="54"/>
      <c r="P349" s="54"/>
      <c r="Q349" s="54"/>
      <c r="R349" s="54"/>
      <c r="S349" s="54"/>
      <c r="T349" s="54"/>
      <c r="U349" s="54"/>
      <c r="V349" s="54"/>
      <c r="W349" s="54"/>
      <c r="X349" s="54"/>
    </row>
    <row r="350" spans="1:24" customFormat="1" ht="15" customHeight="1" x14ac:dyDescent="0.2">
      <c r="A350" s="112"/>
      <c r="B350" s="125"/>
      <c r="C350" s="113"/>
      <c r="D350" s="57"/>
      <c r="E350" s="57"/>
      <c r="F350" s="57"/>
      <c r="G350" s="54"/>
      <c r="H350" s="54"/>
      <c r="I350" s="54"/>
      <c r="J350" s="54"/>
      <c r="K350" s="54"/>
      <c r="L350" s="54"/>
      <c r="M350" s="54"/>
      <c r="N350" s="54"/>
      <c r="O350" s="54"/>
      <c r="P350" s="54"/>
      <c r="Q350" s="54"/>
      <c r="R350" s="54"/>
      <c r="S350" s="54"/>
      <c r="T350" s="54"/>
      <c r="U350" s="54"/>
      <c r="V350" s="54"/>
      <c r="W350" s="54"/>
      <c r="X350" s="54"/>
    </row>
    <row r="351" spans="1:24" customFormat="1" ht="15" customHeight="1" x14ac:dyDescent="0.2">
      <c r="A351" s="112"/>
      <c r="B351" s="125"/>
      <c r="C351" s="113"/>
      <c r="D351" s="57"/>
      <c r="E351" s="57"/>
      <c r="F351" s="57"/>
      <c r="G351" s="54"/>
      <c r="H351" s="54"/>
      <c r="I351" s="54"/>
      <c r="J351" s="54"/>
      <c r="K351" s="54"/>
      <c r="L351" s="54"/>
      <c r="M351" s="54"/>
      <c r="N351" s="54"/>
      <c r="O351" s="54"/>
      <c r="P351" s="54"/>
      <c r="Q351" s="54"/>
      <c r="R351" s="54"/>
      <c r="S351" s="54"/>
      <c r="T351" s="54"/>
      <c r="U351" s="54"/>
      <c r="V351" s="54"/>
      <c r="W351" s="54"/>
      <c r="X351" s="54"/>
    </row>
    <row r="352" spans="1:24" customFormat="1" ht="15" customHeight="1" x14ac:dyDescent="0.2">
      <c r="A352" s="112"/>
      <c r="B352" s="125"/>
      <c r="C352" s="113"/>
      <c r="D352" s="57"/>
      <c r="E352" s="57"/>
      <c r="F352" s="57"/>
      <c r="G352" s="54"/>
      <c r="H352" s="54"/>
      <c r="I352" s="54"/>
      <c r="J352" s="54"/>
      <c r="K352" s="54"/>
      <c r="L352" s="54"/>
      <c r="M352" s="54"/>
      <c r="N352" s="54"/>
      <c r="O352" s="54"/>
      <c r="P352" s="54"/>
      <c r="Q352" s="54"/>
      <c r="R352" s="54"/>
      <c r="S352" s="54"/>
      <c r="T352" s="54"/>
      <c r="U352" s="54"/>
      <c r="V352" s="54"/>
      <c r="W352" s="54"/>
      <c r="X352" s="54"/>
    </row>
    <row r="353" spans="1:24" customFormat="1" ht="15" customHeight="1" x14ac:dyDescent="0.2">
      <c r="A353" s="112"/>
      <c r="B353" s="125"/>
      <c r="C353" s="113"/>
      <c r="D353" s="57"/>
      <c r="E353" s="57"/>
      <c r="F353" s="57"/>
      <c r="G353" s="54"/>
      <c r="H353" s="54"/>
      <c r="I353" s="54"/>
      <c r="J353" s="54"/>
      <c r="K353" s="54"/>
      <c r="L353" s="54"/>
      <c r="M353" s="54"/>
      <c r="N353" s="54"/>
      <c r="O353" s="54"/>
      <c r="P353" s="54"/>
      <c r="Q353" s="54"/>
      <c r="R353" s="54"/>
      <c r="S353" s="54"/>
      <c r="T353" s="54"/>
      <c r="U353" s="54"/>
      <c r="V353" s="54"/>
      <c r="W353" s="54"/>
      <c r="X353" s="54"/>
    </row>
    <row r="354" spans="1:24" customFormat="1" ht="15" customHeight="1" x14ac:dyDescent="0.2">
      <c r="A354" s="112"/>
      <c r="B354" s="125"/>
      <c r="C354" s="113"/>
      <c r="D354" s="57"/>
      <c r="E354" s="57"/>
      <c r="F354" s="57"/>
      <c r="G354" s="54"/>
      <c r="H354" s="54"/>
      <c r="I354" s="54"/>
      <c r="J354" s="54"/>
      <c r="K354" s="54"/>
      <c r="L354" s="54"/>
      <c r="M354" s="54"/>
      <c r="N354" s="54"/>
      <c r="O354" s="54"/>
      <c r="P354" s="54"/>
      <c r="Q354" s="54"/>
      <c r="R354" s="54"/>
      <c r="S354" s="54"/>
      <c r="T354" s="54"/>
      <c r="U354" s="54"/>
      <c r="V354" s="54"/>
      <c r="W354" s="54"/>
      <c r="X354" s="54"/>
    </row>
    <row r="355" spans="1:24" customFormat="1" ht="15" customHeight="1" x14ac:dyDescent="0.2">
      <c r="A355" s="112"/>
      <c r="B355" s="125"/>
      <c r="C355" s="113"/>
      <c r="D355" s="57"/>
      <c r="E355" s="57"/>
      <c r="F355" s="57"/>
      <c r="G355" s="54"/>
      <c r="H355" s="54"/>
      <c r="I355" s="54"/>
      <c r="J355" s="54"/>
      <c r="K355" s="54"/>
      <c r="L355" s="54"/>
      <c r="M355" s="54"/>
      <c r="N355" s="54"/>
      <c r="O355" s="54"/>
      <c r="P355" s="54"/>
      <c r="Q355" s="54"/>
      <c r="R355" s="54"/>
      <c r="S355" s="54"/>
      <c r="T355" s="54"/>
      <c r="U355" s="54"/>
      <c r="V355" s="54"/>
      <c r="W355" s="54"/>
      <c r="X355" s="54"/>
    </row>
    <row r="356" spans="1:24" customFormat="1" ht="15" customHeight="1" x14ac:dyDescent="0.2">
      <c r="A356" s="112"/>
      <c r="B356" s="125"/>
      <c r="C356" s="113"/>
      <c r="D356" s="57"/>
      <c r="E356" s="57"/>
      <c r="F356" s="57"/>
      <c r="G356" s="54"/>
      <c r="H356" s="54"/>
      <c r="I356" s="54"/>
      <c r="J356" s="54"/>
      <c r="K356" s="54"/>
      <c r="L356" s="54"/>
      <c r="M356" s="54"/>
      <c r="N356" s="54"/>
      <c r="O356" s="54"/>
      <c r="P356" s="54"/>
      <c r="Q356" s="54"/>
      <c r="R356" s="54"/>
      <c r="S356" s="54"/>
      <c r="T356" s="54"/>
      <c r="U356" s="54"/>
      <c r="V356" s="54"/>
      <c r="W356" s="54"/>
      <c r="X356" s="54"/>
    </row>
    <row r="357" spans="1:24" customFormat="1" ht="15" customHeight="1" x14ac:dyDescent="0.2">
      <c r="A357" s="112"/>
      <c r="B357" s="125"/>
      <c r="C357" s="113"/>
      <c r="D357" s="57"/>
      <c r="E357" s="57"/>
      <c r="F357" s="57"/>
      <c r="G357" s="54"/>
      <c r="H357" s="54"/>
      <c r="I357" s="54"/>
      <c r="J357" s="54"/>
      <c r="K357" s="54"/>
      <c r="L357" s="54"/>
      <c r="M357" s="54"/>
      <c r="N357" s="54"/>
      <c r="O357" s="54"/>
      <c r="P357" s="54"/>
      <c r="Q357" s="54"/>
      <c r="R357" s="54"/>
      <c r="S357" s="54"/>
      <c r="T357" s="54"/>
      <c r="U357" s="54"/>
      <c r="V357" s="54"/>
      <c r="W357" s="54"/>
      <c r="X357" s="54"/>
    </row>
    <row r="358" spans="1:24" customFormat="1" ht="15" customHeight="1" x14ac:dyDescent="0.2">
      <c r="A358" s="112"/>
      <c r="B358" s="125"/>
      <c r="C358" s="113"/>
      <c r="D358" s="57"/>
      <c r="E358" s="57"/>
      <c r="F358" s="57"/>
      <c r="G358" s="54"/>
      <c r="H358" s="54"/>
      <c r="I358" s="54"/>
      <c r="J358" s="54"/>
      <c r="K358" s="54"/>
      <c r="L358" s="54"/>
      <c r="M358" s="54"/>
      <c r="N358" s="54"/>
      <c r="O358" s="54"/>
      <c r="P358" s="54"/>
      <c r="Q358" s="54"/>
      <c r="R358" s="54"/>
      <c r="S358" s="54"/>
      <c r="T358" s="54"/>
      <c r="U358" s="54"/>
      <c r="V358" s="54"/>
      <c r="W358" s="54"/>
      <c r="X358" s="54"/>
    </row>
    <row r="359" spans="1:24" customFormat="1" ht="15" customHeight="1" x14ac:dyDescent="0.2">
      <c r="A359" s="112"/>
      <c r="B359" s="125"/>
      <c r="C359" s="113"/>
      <c r="D359" s="57"/>
      <c r="E359" s="57"/>
      <c r="F359" s="57"/>
      <c r="G359" s="54"/>
      <c r="H359" s="54"/>
      <c r="I359" s="54"/>
      <c r="J359" s="54"/>
      <c r="K359" s="54"/>
      <c r="L359" s="54"/>
      <c r="M359" s="54"/>
      <c r="N359" s="54"/>
      <c r="O359" s="54"/>
      <c r="P359" s="54"/>
      <c r="Q359" s="54"/>
      <c r="R359" s="54"/>
      <c r="S359" s="54"/>
      <c r="T359" s="54"/>
      <c r="U359" s="54"/>
      <c r="V359" s="54"/>
      <c r="W359" s="54"/>
      <c r="X359" s="54"/>
    </row>
    <row r="360" spans="1:24" customFormat="1" ht="15" customHeight="1" x14ac:dyDescent="0.2">
      <c r="A360" s="112"/>
      <c r="B360" s="125"/>
      <c r="C360" s="113"/>
      <c r="D360" s="57"/>
      <c r="E360" s="57"/>
      <c r="F360" s="57"/>
      <c r="G360" s="54"/>
      <c r="H360" s="54"/>
      <c r="I360" s="54"/>
      <c r="J360" s="54"/>
      <c r="K360" s="54"/>
      <c r="L360" s="54"/>
      <c r="M360" s="54"/>
      <c r="N360" s="54"/>
      <c r="O360" s="54"/>
      <c r="P360" s="54"/>
      <c r="Q360" s="54"/>
      <c r="R360" s="54"/>
      <c r="S360" s="54"/>
      <c r="T360" s="54"/>
      <c r="U360" s="54"/>
      <c r="V360" s="54"/>
      <c r="W360" s="54"/>
      <c r="X360" s="54"/>
    </row>
    <row r="361" spans="1:24" customFormat="1" ht="15" customHeight="1" x14ac:dyDescent="0.2">
      <c r="A361" s="112"/>
      <c r="B361" s="125"/>
      <c r="C361" s="113"/>
      <c r="D361" s="57"/>
      <c r="E361" s="57"/>
      <c r="F361" s="57"/>
      <c r="G361" s="54"/>
      <c r="H361" s="54"/>
      <c r="I361" s="54"/>
      <c r="J361" s="54"/>
      <c r="K361" s="54"/>
      <c r="L361" s="54"/>
      <c r="M361" s="54"/>
      <c r="N361" s="54"/>
      <c r="O361" s="54"/>
      <c r="P361" s="54"/>
      <c r="Q361" s="54"/>
      <c r="R361" s="54"/>
      <c r="S361" s="54"/>
      <c r="T361" s="54"/>
      <c r="U361" s="54"/>
      <c r="V361" s="54"/>
      <c r="W361" s="54"/>
      <c r="X361" s="54"/>
    </row>
    <row r="362" spans="1:24" customFormat="1" ht="15" customHeight="1" x14ac:dyDescent="0.2">
      <c r="A362" s="112"/>
      <c r="B362" s="125"/>
      <c r="C362" s="113"/>
      <c r="D362" s="57"/>
      <c r="E362" s="57"/>
      <c r="F362" s="57"/>
      <c r="G362" s="54"/>
      <c r="H362" s="54"/>
      <c r="I362" s="54"/>
      <c r="J362" s="54"/>
      <c r="K362" s="54"/>
      <c r="L362" s="54"/>
      <c r="M362" s="54"/>
      <c r="N362" s="54"/>
      <c r="O362" s="54"/>
      <c r="P362" s="54"/>
      <c r="Q362" s="54"/>
      <c r="R362" s="54"/>
      <c r="S362" s="54"/>
      <c r="T362" s="54"/>
      <c r="U362" s="54"/>
      <c r="V362" s="54"/>
      <c r="W362" s="54"/>
      <c r="X362" s="54"/>
    </row>
    <row r="363" spans="1:24" customFormat="1" ht="15" customHeight="1" x14ac:dyDescent="0.2">
      <c r="A363" s="112"/>
      <c r="B363" s="125"/>
      <c r="C363" s="113"/>
      <c r="D363" s="57"/>
      <c r="E363" s="57"/>
      <c r="F363" s="57"/>
      <c r="G363" s="54"/>
      <c r="H363" s="54"/>
      <c r="I363" s="54"/>
      <c r="J363" s="54"/>
      <c r="K363" s="54"/>
      <c r="L363" s="54"/>
      <c r="M363" s="54"/>
      <c r="N363" s="54"/>
      <c r="O363" s="54"/>
      <c r="P363" s="54"/>
      <c r="Q363" s="54"/>
      <c r="R363" s="54"/>
      <c r="S363" s="54"/>
      <c r="T363" s="54"/>
      <c r="U363" s="54"/>
      <c r="V363" s="54"/>
      <c r="W363" s="54"/>
      <c r="X363" s="54"/>
    </row>
    <row r="364" spans="1:24" customFormat="1" ht="15" customHeight="1" x14ac:dyDescent="0.2">
      <c r="A364" s="112"/>
      <c r="B364" s="125"/>
      <c r="C364" s="113"/>
      <c r="D364" s="57"/>
      <c r="E364" s="57"/>
      <c r="F364" s="57"/>
      <c r="G364" s="54"/>
      <c r="H364" s="54"/>
      <c r="I364" s="54"/>
      <c r="J364" s="54"/>
      <c r="K364" s="54"/>
      <c r="L364" s="54"/>
      <c r="M364" s="54"/>
      <c r="N364" s="54"/>
      <c r="O364" s="54"/>
      <c r="P364" s="54"/>
      <c r="Q364" s="54"/>
      <c r="R364" s="54"/>
      <c r="S364" s="54"/>
      <c r="T364" s="54"/>
      <c r="U364" s="54"/>
      <c r="V364" s="54"/>
      <c r="W364" s="54"/>
      <c r="X364" s="54"/>
    </row>
    <row r="365" spans="1:24" customFormat="1" ht="15" customHeight="1" x14ac:dyDescent="0.2">
      <c r="A365" s="112"/>
      <c r="B365" s="125"/>
      <c r="C365" s="113"/>
      <c r="D365" s="57"/>
      <c r="E365" s="57"/>
      <c r="F365" s="57"/>
      <c r="G365" s="54"/>
      <c r="H365" s="54"/>
      <c r="I365" s="54"/>
      <c r="J365" s="54"/>
      <c r="K365" s="54"/>
      <c r="L365" s="54"/>
      <c r="M365" s="54"/>
      <c r="N365" s="54"/>
      <c r="O365" s="54"/>
      <c r="P365" s="54"/>
      <c r="Q365" s="54"/>
      <c r="R365" s="54"/>
      <c r="S365" s="54"/>
      <c r="T365" s="54"/>
      <c r="U365" s="54"/>
      <c r="V365" s="54"/>
      <c r="W365" s="54"/>
      <c r="X365" s="54"/>
    </row>
    <row r="366" spans="1:24" customFormat="1" ht="15" customHeight="1" x14ac:dyDescent="0.2">
      <c r="A366" s="112"/>
      <c r="B366" s="125"/>
      <c r="C366" s="113"/>
      <c r="D366" s="57"/>
      <c r="E366" s="57"/>
      <c r="F366" s="57"/>
      <c r="G366" s="54"/>
      <c r="H366" s="54"/>
      <c r="I366" s="54"/>
      <c r="J366" s="54"/>
      <c r="K366" s="54"/>
      <c r="L366" s="54"/>
      <c r="M366" s="54"/>
      <c r="N366" s="54"/>
      <c r="O366" s="54"/>
      <c r="P366" s="54"/>
      <c r="Q366" s="54"/>
      <c r="R366" s="54"/>
      <c r="S366" s="54"/>
      <c r="T366" s="54"/>
      <c r="U366" s="54"/>
      <c r="V366" s="54"/>
      <c r="W366" s="54"/>
      <c r="X366" s="54"/>
    </row>
    <row r="367" spans="1:24" customFormat="1" ht="15" customHeight="1" x14ac:dyDescent="0.2">
      <c r="A367" s="112"/>
      <c r="B367" s="125"/>
      <c r="C367" s="113"/>
      <c r="D367" s="57"/>
      <c r="E367" s="57"/>
      <c r="F367" s="57"/>
      <c r="G367" s="54"/>
      <c r="H367" s="54"/>
      <c r="I367" s="54"/>
      <c r="J367" s="54"/>
      <c r="K367" s="54"/>
      <c r="L367" s="54"/>
      <c r="M367" s="54"/>
      <c r="N367" s="54"/>
      <c r="O367" s="54"/>
      <c r="P367" s="54"/>
      <c r="Q367" s="54"/>
      <c r="R367" s="54"/>
      <c r="S367" s="54"/>
      <c r="T367" s="54"/>
      <c r="U367" s="54"/>
      <c r="V367" s="54"/>
      <c r="W367" s="54"/>
      <c r="X367" s="54"/>
    </row>
    <row r="368" spans="1:24" customFormat="1" ht="15" customHeight="1" x14ac:dyDescent="0.2">
      <c r="A368" s="112"/>
      <c r="B368" s="125"/>
      <c r="C368" s="113"/>
      <c r="D368" s="57"/>
      <c r="E368" s="57"/>
      <c r="F368" s="57"/>
      <c r="G368" s="54"/>
      <c r="H368" s="54"/>
      <c r="I368" s="54"/>
      <c r="J368" s="54"/>
      <c r="K368" s="54"/>
      <c r="L368" s="54"/>
      <c r="M368" s="54"/>
      <c r="N368" s="54"/>
      <c r="O368" s="54"/>
      <c r="P368" s="54"/>
      <c r="Q368" s="54"/>
      <c r="R368" s="54"/>
      <c r="S368" s="54"/>
      <c r="T368" s="54"/>
      <c r="U368" s="54"/>
      <c r="V368" s="54"/>
      <c r="W368" s="54"/>
      <c r="X368" s="54"/>
    </row>
    <row r="369" spans="1:24" customFormat="1" ht="15" customHeight="1" x14ac:dyDescent="0.2">
      <c r="A369" s="112"/>
      <c r="B369" s="125"/>
      <c r="C369" s="113"/>
      <c r="D369" s="57"/>
      <c r="E369" s="57"/>
      <c r="F369" s="57"/>
      <c r="G369" s="54"/>
      <c r="H369" s="54"/>
      <c r="I369" s="54"/>
      <c r="J369" s="54"/>
      <c r="K369" s="54"/>
      <c r="L369" s="54"/>
      <c r="M369" s="54"/>
      <c r="N369" s="54"/>
      <c r="O369" s="54"/>
      <c r="P369" s="54"/>
      <c r="Q369" s="54"/>
      <c r="R369" s="54"/>
      <c r="S369" s="54"/>
      <c r="T369" s="54"/>
      <c r="U369" s="54"/>
      <c r="V369" s="54"/>
      <c r="W369" s="54"/>
      <c r="X369" s="54"/>
    </row>
    <row r="370" spans="1:24" customFormat="1" ht="15" customHeight="1" x14ac:dyDescent="0.2">
      <c r="A370" s="112"/>
      <c r="B370" s="125"/>
      <c r="C370" s="113"/>
      <c r="D370" s="57"/>
      <c r="E370" s="57"/>
      <c r="F370" s="57"/>
      <c r="G370" s="54"/>
      <c r="H370" s="54"/>
      <c r="I370" s="54"/>
      <c r="J370" s="54"/>
      <c r="K370" s="54"/>
      <c r="L370" s="54"/>
      <c r="M370" s="54"/>
      <c r="N370" s="54"/>
      <c r="O370" s="54"/>
      <c r="P370" s="54"/>
      <c r="Q370" s="54"/>
      <c r="R370" s="54"/>
      <c r="S370" s="54"/>
      <c r="T370" s="54"/>
      <c r="U370" s="54"/>
      <c r="V370" s="54"/>
      <c r="W370" s="54"/>
      <c r="X370" s="54"/>
    </row>
    <row r="371" spans="1:24" customFormat="1" ht="15" customHeight="1" x14ac:dyDescent="0.2">
      <c r="A371" s="112"/>
      <c r="B371" s="125"/>
      <c r="C371" s="113"/>
      <c r="D371" s="57"/>
      <c r="E371" s="57"/>
      <c r="F371" s="57"/>
      <c r="G371" s="54"/>
      <c r="H371" s="54"/>
      <c r="I371" s="54"/>
      <c r="J371" s="54"/>
      <c r="K371" s="54"/>
      <c r="L371" s="54"/>
      <c r="M371" s="54"/>
      <c r="N371" s="54"/>
      <c r="O371" s="54"/>
      <c r="P371" s="54"/>
      <c r="Q371" s="54"/>
      <c r="R371" s="54"/>
      <c r="S371" s="54"/>
      <c r="T371" s="54"/>
      <c r="U371" s="54"/>
      <c r="V371" s="54"/>
      <c r="W371" s="54"/>
      <c r="X371" s="54"/>
    </row>
    <row r="372" spans="1:24" customFormat="1" ht="15" customHeight="1" x14ac:dyDescent="0.2">
      <c r="A372" s="112"/>
      <c r="B372" s="125"/>
      <c r="C372" s="113"/>
      <c r="D372" s="57"/>
      <c r="E372" s="57"/>
      <c r="F372" s="57"/>
      <c r="G372" s="54"/>
      <c r="H372" s="54"/>
      <c r="I372" s="54"/>
      <c r="J372" s="54"/>
      <c r="K372" s="54"/>
      <c r="L372" s="54"/>
      <c r="M372" s="54"/>
      <c r="N372" s="54"/>
      <c r="O372" s="54"/>
      <c r="P372" s="54"/>
      <c r="Q372" s="54"/>
      <c r="R372" s="54"/>
      <c r="S372" s="54"/>
      <c r="T372" s="54"/>
      <c r="U372" s="54"/>
      <c r="V372" s="54"/>
      <c r="W372" s="54"/>
      <c r="X372" s="54"/>
    </row>
    <row r="373" spans="1:24" customFormat="1" ht="15" customHeight="1" x14ac:dyDescent="0.2">
      <c r="A373" s="112"/>
      <c r="B373" s="125"/>
      <c r="C373" s="113"/>
      <c r="D373" s="57"/>
      <c r="E373" s="57"/>
      <c r="F373" s="57"/>
      <c r="G373" s="54"/>
      <c r="H373" s="54"/>
      <c r="I373" s="54"/>
      <c r="J373" s="54"/>
      <c r="K373" s="54"/>
      <c r="L373" s="54"/>
      <c r="M373" s="54"/>
      <c r="N373" s="54"/>
      <c r="O373" s="54"/>
      <c r="P373" s="54"/>
      <c r="Q373" s="54"/>
      <c r="R373" s="54"/>
      <c r="S373" s="54"/>
      <c r="T373" s="54"/>
      <c r="U373" s="54"/>
      <c r="V373" s="54"/>
      <c r="W373" s="54"/>
      <c r="X373" s="54"/>
    </row>
    <row r="374" spans="1:24" customFormat="1" ht="15" customHeight="1" x14ac:dyDescent="0.2">
      <c r="A374" s="112"/>
      <c r="B374" s="125"/>
      <c r="C374" s="113"/>
      <c r="D374" s="57"/>
      <c r="E374" s="57"/>
      <c r="F374" s="57"/>
      <c r="G374" s="54"/>
      <c r="H374" s="54"/>
      <c r="I374" s="54"/>
      <c r="J374" s="54"/>
      <c r="K374" s="54"/>
      <c r="L374" s="54"/>
      <c r="M374" s="54"/>
      <c r="N374" s="54"/>
      <c r="O374" s="54"/>
      <c r="P374" s="54"/>
      <c r="Q374" s="54"/>
      <c r="R374" s="54"/>
      <c r="S374" s="54"/>
      <c r="T374" s="54"/>
      <c r="U374" s="54"/>
      <c r="V374" s="54"/>
      <c r="W374" s="54"/>
      <c r="X374" s="54"/>
    </row>
    <row r="375" spans="1:24" customFormat="1" ht="15" customHeight="1" x14ac:dyDescent="0.2">
      <c r="A375" s="112"/>
      <c r="B375" s="125"/>
      <c r="C375" s="113"/>
      <c r="D375" s="57"/>
      <c r="E375" s="57"/>
      <c r="F375" s="57"/>
      <c r="G375" s="54"/>
      <c r="H375" s="54"/>
      <c r="I375" s="54"/>
      <c r="J375" s="54"/>
      <c r="K375" s="54"/>
      <c r="L375" s="54"/>
      <c r="M375" s="54"/>
      <c r="N375" s="54"/>
      <c r="O375" s="54"/>
      <c r="P375" s="54"/>
      <c r="Q375" s="54"/>
      <c r="R375" s="54"/>
      <c r="S375" s="54"/>
      <c r="T375" s="54"/>
      <c r="U375" s="54"/>
      <c r="V375" s="54"/>
      <c r="W375" s="54"/>
      <c r="X375" s="54"/>
    </row>
    <row r="376" spans="1:24" customFormat="1" ht="15" customHeight="1" x14ac:dyDescent="0.2">
      <c r="A376" s="112"/>
      <c r="B376" s="125"/>
      <c r="C376" s="113"/>
      <c r="D376" s="57"/>
      <c r="E376" s="57"/>
      <c r="F376" s="57"/>
      <c r="G376" s="54"/>
      <c r="H376" s="54"/>
      <c r="I376" s="54"/>
      <c r="J376" s="54"/>
      <c r="K376" s="54"/>
      <c r="L376" s="54"/>
      <c r="M376" s="54"/>
      <c r="N376" s="54"/>
      <c r="O376" s="54"/>
      <c r="P376" s="54"/>
      <c r="Q376" s="54"/>
      <c r="R376" s="54"/>
      <c r="S376" s="54"/>
      <c r="T376" s="54"/>
      <c r="U376" s="54"/>
      <c r="V376" s="54"/>
      <c r="W376" s="54"/>
      <c r="X376" s="54"/>
    </row>
    <row r="377" spans="1:24" customFormat="1" ht="15" customHeight="1" x14ac:dyDescent="0.2">
      <c r="A377" s="112"/>
      <c r="B377" s="125"/>
      <c r="C377" s="113"/>
      <c r="D377" s="57"/>
      <c r="E377" s="57"/>
      <c r="F377" s="57"/>
      <c r="G377" s="54"/>
      <c r="H377" s="54"/>
      <c r="I377" s="54"/>
      <c r="J377" s="54"/>
      <c r="K377" s="54"/>
      <c r="L377" s="54"/>
      <c r="M377" s="54"/>
      <c r="N377" s="54"/>
      <c r="O377" s="54"/>
      <c r="P377" s="54"/>
      <c r="Q377" s="54"/>
      <c r="R377" s="54"/>
      <c r="S377" s="54"/>
      <c r="T377" s="54"/>
      <c r="U377" s="54"/>
      <c r="V377" s="54"/>
      <c r="W377" s="54"/>
      <c r="X377" s="54"/>
    </row>
    <row r="378" spans="1:24" customFormat="1" ht="15" customHeight="1" x14ac:dyDescent="0.2">
      <c r="A378" s="112"/>
      <c r="B378" s="125"/>
      <c r="C378" s="113"/>
      <c r="D378" s="57"/>
      <c r="E378" s="57"/>
      <c r="F378" s="57"/>
      <c r="G378" s="54"/>
      <c r="H378" s="54"/>
      <c r="I378" s="54"/>
      <c r="J378" s="54"/>
      <c r="K378" s="54"/>
      <c r="L378" s="54"/>
      <c r="M378" s="54"/>
      <c r="N378" s="54"/>
      <c r="O378" s="54"/>
      <c r="P378" s="54"/>
      <c r="Q378" s="54"/>
      <c r="R378" s="54"/>
      <c r="S378" s="54"/>
      <c r="T378" s="54"/>
      <c r="U378" s="54"/>
      <c r="V378" s="54"/>
      <c r="W378" s="54"/>
      <c r="X378" s="54"/>
    </row>
    <row r="379" spans="1:24" customFormat="1" ht="15" customHeight="1" x14ac:dyDescent="0.2">
      <c r="A379" s="112"/>
      <c r="B379" s="125"/>
      <c r="C379" s="113"/>
      <c r="D379" s="57"/>
      <c r="E379" s="57"/>
      <c r="F379" s="57"/>
      <c r="G379" s="54"/>
      <c r="H379" s="54"/>
      <c r="I379" s="54"/>
      <c r="J379" s="54"/>
      <c r="K379" s="54"/>
      <c r="L379" s="54"/>
      <c r="M379" s="54"/>
      <c r="N379" s="54"/>
      <c r="O379" s="54"/>
      <c r="P379" s="54"/>
      <c r="Q379" s="54"/>
      <c r="R379" s="54"/>
      <c r="S379" s="54"/>
      <c r="T379" s="54"/>
      <c r="U379" s="54"/>
      <c r="V379" s="54"/>
      <c r="W379" s="54"/>
      <c r="X379" s="54"/>
    </row>
    <row r="380" spans="1:24" customFormat="1" ht="15" customHeight="1" x14ac:dyDescent="0.2">
      <c r="A380" s="112"/>
      <c r="B380" s="125"/>
      <c r="C380" s="113"/>
      <c r="D380" s="57"/>
      <c r="E380" s="57"/>
      <c r="F380" s="57"/>
      <c r="G380" s="54"/>
      <c r="H380" s="54"/>
      <c r="I380" s="54"/>
      <c r="J380" s="54"/>
      <c r="K380" s="54"/>
      <c r="L380" s="54"/>
      <c r="M380" s="54"/>
      <c r="N380" s="54"/>
      <c r="O380" s="54"/>
      <c r="P380" s="54"/>
      <c r="Q380" s="54"/>
      <c r="R380" s="54"/>
      <c r="S380" s="54"/>
      <c r="T380" s="54"/>
      <c r="U380" s="54"/>
      <c r="V380" s="54"/>
      <c r="W380" s="54"/>
      <c r="X380" s="54"/>
    </row>
    <row r="381" spans="1:24" customFormat="1" ht="15" customHeight="1" x14ac:dyDescent="0.2">
      <c r="A381" s="112"/>
      <c r="B381" s="125"/>
      <c r="C381" s="113"/>
      <c r="D381" s="57"/>
      <c r="E381" s="57"/>
      <c r="F381" s="57"/>
      <c r="G381" s="54"/>
      <c r="H381" s="54"/>
      <c r="I381" s="54"/>
      <c r="J381" s="54"/>
      <c r="K381" s="54"/>
      <c r="L381" s="54"/>
      <c r="M381" s="54"/>
      <c r="N381" s="54"/>
      <c r="O381" s="54"/>
      <c r="P381" s="54"/>
      <c r="Q381" s="54"/>
      <c r="R381" s="54"/>
      <c r="S381" s="54"/>
      <c r="T381" s="54"/>
      <c r="U381" s="54"/>
      <c r="V381" s="54"/>
      <c r="W381" s="54"/>
      <c r="X381" s="54"/>
    </row>
    <row r="382" spans="1:24" customFormat="1" ht="15" customHeight="1" x14ac:dyDescent="0.2">
      <c r="A382" s="112"/>
      <c r="B382" s="125"/>
      <c r="C382" s="113"/>
      <c r="D382" s="57"/>
      <c r="E382" s="57"/>
      <c r="F382" s="57"/>
      <c r="G382" s="54"/>
      <c r="H382" s="54"/>
      <c r="I382" s="54"/>
      <c r="J382" s="54"/>
      <c r="K382" s="54"/>
      <c r="L382" s="54"/>
      <c r="M382" s="54"/>
      <c r="N382" s="54"/>
      <c r="O382" s="54"/>
      <c r="P382" s="54"/>
      <c r="Q382" s="54"/>
      <c r="R382" s="54"/>
      <c r="S382" s="54"/>
      <c r="T382" s="54"/>
      <c r="U382" s="54"/>
      <c r="V382" s="54"/>
      <c r="W382" s="54"/>
      <c r="X382" s="54"/>
    </row>
    <row r="383" spans="1:24" customFormat="1" ht="15" customHeight="1" x14ac:dyDescent="0.2">
      <c r="A383" s="112"/>
      <c r="B383" s="125"/>
      <c r="C383" s="113"/>
      <c r="D383" s="57"/>
      <c r="E383" s="57"/>
      <c r="F383" s="57"/>
      <c r="G383" s="54"/>
      <c r="H383" s="54"/>
      <c r="I383" s="54"/>
      <c r="J383" s="54"/>
      <c r="K383" s="54"/>
      <c r="L383" s="54"/>
      <c r="M383" s="54"/>
      <c r="N383" s="54"/>
      <c r="O383" s="54"/>
      <c r="P383" s="54"/>
      <c r="Q383" s="54"/>
      <c r="R383" s="54"/>
      <c r="S383" s="54"/>
      <c r="T383" s="54"/>
      <c r="U383" s="54"/>
      <c r="V383" s="54"/>
      <c r="W383" s="54"/>
      <c r="X383" s="54"/>
    </row>
    <row r="384" spans="1:24" customFormat="1" ht="15" customHeight="1" x14ac:dyDescent="0.2">
      <c r="A384" s="112"/>
      <c r="B384" s="125"/>
      <c r="C384" s="113"/>
      <c r="D384" s="57"/>
      <c r="E384" s="57"/>
      <c r="F384" s="57"/>
      <c r="G384" s="54"/>
      <c r="H384" s="54"/>
      <c r="I384" s="54"/>
      <c r="J384" s="54"/>
      <c r="K384" s="54"/>
      <c r="L384" s="54"/>
      <c r="M384" s="54"/>
      <c r="N384" s="54"/>
      <c r="O384" s="54"/>
      <c r="P384" s="54"/>
      <c r="Q384" s="54"/>
      <c r="R384" s="54"/>
      <c r="S384" s="54"/>
      <c r="T384" s="54"/>
      <c r="U384" s="54"/>
      <c r="V384" s="54"/>
      <c r="W384" s="54"/>
      <c r="X384" s="54"/>
    </row>
    <row r="385" spans="1:24" customFormat="1" ht="15" customHeight="1" x14ac:dyDescent="0.2">
      <c r="A385" s="112"/>
      <c r="B385" s="125"/>
      <c r="C385" s="113"/>
      <c r="D385" s="57"/>
      <c r="E385" s="57"/>
      <c r="F385" s="57"/>
      <c r="G385" s="54"/>
      <c r="H385" s="54"/>
      <c r="I385" s="54"/>
      <c r="J385" s="54"/>
      <c r="K385" s="54"/>
      <c r="L385" s="54"/>
      <c r="M385" s="54"/>
      <c r="N385" s="54"/>
      <c r="O385" s="54"/>
      <c r="P385" s="54"/>
      <c r="Q385" s="54"/>
      <c r="R385" s="54"/>
      <c r="S385" s="54"/>
      <c r="T385" s="54"/>
      <c r="U385" s="54"/>
      <c r="V385" s="54"/>
      <c r="W385" s="54"/>
      <c r="X385" s="54"/>
    </row>
    <row r="386" spans="1:24" customFormat="1" ht="15" customHeight="1" x14ac:dyDescent="0.2">
      <c r="A386" s="112"/>
      <c r="B386" s="125"/>
      <c r="C386" s="113"/>
      <c r="D386" s="57"/>
      <c r="E386" s="57"/>
      <c r="F386" s="57"/>
      <c r="G386" s="54"/>
      <c r="H386" s="54"/>
      <c r="I386" s="54"/>
      <c r="J386" s="54"/>
      <c r="K386" s="54"/>
      <c r="L386" s="54"/>
      <c r="M386" s="54"/>
      <c r="N386" s="54"/>
      <c r="O386" s="54"/>
      <c r="P386" s="54"/>
      <c r="Q386" s="54"/>
      <c r="R386" s="54"/>
      <c r="S386" s="54"/>
      <c r="T386" s="54"/>
      <c r="U386" s="54"/>
      <c r="V386" s="54"/>
      <c r="W386" s="54"/>
      <c r="X386" s="54"/>
    </row>
    <row r="387" spans="1:24" customFormat="1" ht="15" customHeight="1" x14ac:dyDescent="0.2">
      <c r="A387" s="112"/>
      <c r="B387" s="125"/>
      <c r="C387" s="113"/>
      <c r="D387" s="57"/>
      <c r="E387" s="57"/>
      <c r="F387" s="57"/>
      <c r="G387" s="54"/>
      <c r="H387" s="54"/>
      <c r="I387" s="54"/>
      <c r="J387" s="54"/>
      <c r="K387" s="54"/>
      <c r="L387" s="54"/>
      <c r="M387" s="54"/>
      <c r="N387" s="54"/>
      <c r="O387" s="54"/>
      <c r="P387" s="54"/>
      <c r="Q387" s="54"/>
      <c r="R387" s="54"/>
      <c r="S387" s="54"/>
      <c r="T387" s="54"/>
      <c r="U387" s="54"/>
      <c r="V387" s="54"/>
      <c r="W387" s="54"/>
      <c r="X387" s="54"/>
    </row>
    <row r="388" spans="1:24" customFormat="1" ht="15" customHeight="1" x14ac:dyDescent="0.2">
      <c r="A388" s="112"/>
      <c r="B388" s="125"/>
      <c r="C388" s="113"/>
      <c r="D388" s="57"/>
      <c r="E388" s="57"/>
      <c r="F388" s="57"/>
      <c r="G388" s="54"/>
      <c r="H388" s="54"/>
      <c r="I388" s="54"/>
      <c r="J388" s="54"/>
      <c r="K388" s="54"/>
      <c r="L388" s="54"/>
      <c r="M388" s="54"/>
      <c r="N388" s="54"/>
      <c r="O388" s="54"/>
      <c r="P388" s="54"/>
      <c r="Q388" s="54"/>
      <c r="R388" s="54"/>
      <c r="S388" s="54"/>
      <c r="T388" s="54"/>
      <c r="U388" s="54"/>
      <c r="V388" s="54"/>
      <c r="W388" s="54"/>
      <c r="X388" s="54"/>
    </row>
    <row r="389" spans="1:24" customFormat="1" ht="15" customHeight="1" x14ac:dyDescent="0.2">
      <c r="A389" s="112"/>
      <c r="B389" s="125"/>
      <c r="C389" s="113"/>
      <c r="D389" s="57"/>
      <c r="E389" s="57"/>
      <c r="F389" s="57"/>
      <c r="G389" s="54"/>
      <c r="H389" s="54"/>
      <c r="I389" s="54"/>
      <c r="J389" s="54"/>
      <c r="K389" s="54"/>
      <c r="L389" s="54"/>
      <c r="M389" s="54"/>
      <c r="N389" s="54"/>
      <c r="O389" s="54"/>
      <c r="P389" s="54"/>
      <c r="Q389" s="54"/>
      <c r="R389" s="54"/>
      <c r="S389" s="54"/>
      <c r="T389" s="54"/>
      <c r="U389" s="54"/>
      <c r="V389" s="54"/>
      <c r="W389" s="54"/>
      <c r="X389" s="54"/>
    </row>
    <row r="390" spans="1:24" customFormat="1" ht="15" customHeight="1" x14ac:dyDescent="0.2">
      <c r="A390" s="112"/>
      <c r="B390" s="125"/>
      <c r="C390" s="113"/>
      <c r="D390" s="57"/>
      <c r="E390" s="57"/>
      <c r="F390" s="57"/>
      <c r="G390" s="54"/>
      <c r="H390" s="54"/>
      <c r="I390" s="54"/>
      <c r="J390" s="54"/>
      <c r="K390" s="54"/>
      <c r="L390" s="54"/>
      <c r="M390" s="54"/>
      <c r="N390" s="54"/>
      <c r="O390" s="54"/>
      <c r="P390" s="54"/>
      <c r="Q390" s="54"/>
      <c r="R390" s="54"/>
      <c r="S390" s="54"/>
      <c r="T390" s="54"/>
      <c r="U390" s="54"/>
      <c r="V390" s="54"/>
      <c r="W390" s="54"/>
      <c r="X390" s="54"/>
    </row>
    <row r="391" spans="1:24" customFormat="1" ht="15" customHeight="1" x14ac:dyDescent="0.2">
      <c r="A391" s="112"/>
      <c r="B391" s="125"/>
      <c r="C391" s="113"/>
      <c r="D391" s="57"/>
      <c r="E391" s="57"/>
      <c r="F391" s="57"/>
      <c r="G391" s="54"/>
      <c r="H391" s="54"/>
      <c r="I391" s="54"/>
      <c r="J391" s="54"/>
      <c r="K391" s="54"/>
      <c r="L391" s="54"/>
      <c r="M391" s="54"/>
      <c r="N391" s="54"/>
      <c r="O391" s="54"/>
      <c r="P391" s="54"/>
      <c r="Q391" s="54"/>
      <c r="R391" s="54"/>
      <c r="S391" s="54"/>
      <c r="T391" s="54"/>
      <c r="U391" s="54"/>
      <c r="V391" s="54"/>
      <c r="W391" s="54"/>
      <c r="X391" s="54"/>
    </row>
    <row r="392" spans="1:24" customFormat="1" ht="15" customHeight="1" x14ac:dyDescent="0.2">
      <c r="A392" s="112"/>
      <c r="B392" s="125"/>
      <c r="C392" s="113"/>
      <c r="D392" s="57"/>
      <c r="E392" s="57"/>
      <c r="F392" s="57"/>
      <c r="G392" s="54"/>
      <c r="H392" s="54"/>
      <c r="I392" s="54"/>
      <c r="J392" s="54"/>
      <c r="K392" s="54"/>
      <c r="L392" s="54"/>
      <c r="M392" s="54"/>
      <c r="N392" s="54"/>
      <c r="O392" s="54"/>
      <c r="P392" s="54"/>
      <c r="Q392" s="54"/>
      <c r="R392" s="54"/>
      <c r="S392" s="54"/>
      <c r="T392" s="54"/>
      <c r="U392" s="54"/>
      <c r="V392" s="54"/>
      <c r="W392" s="54"/>
      <c r="X392" s="54"/>
    </row>
    <row r="393" spans="1:24" customFormat="1" ht="15" customHeight="1" x14ac:dyDescent="0.2">
      <c r="A393" s="112"/>
      <c r="B393" s="125"/>
      <c r="C393" s="113"/>
      <c r="D393" s="57"/>
      <c r="E393" s="57"/>
      <c r="F393" s="57"/>
      <c r="G393" s="54"/>
      <c r="H393" s="54"/>
      <c r="I393" s="54"/>
      <c r="J393" s="54"/>
      <c r="K393" s="54"/>
      <c r="L393" s="54"/>
      <c r="M393" s="54"/>
      <c r="N393" s="54"/>
      <c r="O393" s="54"/>
      <c r="P393" s="54"/>
      <c r="Q393" s="54"/>
      <c r="R393" s="54"/>
      <c r="S393" s="54"/>
      <c r="T393" s="54"/>
      <c r="U393" s="54"/>
      <c r="V393" s="54"/>
      <c r="W393" s="54"/>
      <c r="X393" s="54"/>
    </row>
    <row r="394" spans="1:24" customFormat="1" ht="15" customHeight="1" x14ac:dyDescent="0.2">
      <c r="A394" s="112"/>
      <c r="B394" s="125"/>
      <c r="C394" s="113"/>
      <c r="D394" s="57"/>
      <c r="E394" s="57"/>
      <c r="F394" s="57"/>
      <c r="G394" s="54"/>
      <c r="H394" s="54"/>
      <c r="I394" s="54"/>
      <c r="J394" s="54"/>
      <c r="K394" s="54"/>
      <c r="L394" s="54"/>
      <c r="M394" s="54"/>
      <c r="N394" s="54"/>
      <c r="O394" s="54"/>
      <c r="P394" s="54"/>
      <c r="Q394" s="54"/>
      <c r="R394" s="54"/>
      <c r="S394" s="54"/>
      <c r="T394" s="54"/>
      <c r="U394" s="54"/>
      <c r="V394" s="54"/>
      <c r="W394" s="54"/>
      <c r="X394" s="54"/>
    </row>
    <row r="395" spans="1:24" customFormat="1" ht="15" customHeight="1" x14ac:dyDescent="0.2">
      <c r="A395" s="112"/>
      <c r="B395" s="125"/>
      <c r="C395" s="113"/>
      <c r="D395" s="57"/>
      <c r="E395" s="57"/>
      <c r="F395" s="57"/>
      <c r="G395" s="54"/>
      <c r="H395" s="54"/>
      <c r="I395" s="54"/>
      <c r="J395" s="54"/>
      <c r="K395" s="54"/>
      <c r="L395" s="54"/>
      <c r="M395" s="54"/>
      <c r="N395" s="54"/>
      <c r="O395" s="54"/>
      <c r="P395" s="54"/>
      <c r="Q395" s="54"/>
      <c r="R395" s="54"/>
      <c r="S395" s="54"/>
      <c r="T395" s="54"/>
      <c r="U395" s="54"/>
      <c r="V395" s="54"/>
      <c r="W395" s="54"/>
      <c r="X395" s="54"/>
    </row>
    <row r="396" spans="1:24" customFormat="1" ht="15" customHeight="1" x14ac:dyDescent="0.2">
      <c r="A396" s="112"/>
      <c r="B396" s="125"/>
      <c r="C396" s="113"/>
      <c r="D396" s="57"/>
      <c r="E396" s="57"/>
      <c r="F396" s="57"/>
      <c r="G396" s="54"/>
      <c r="H396" s="54"/>
      <c r="I396" s="54"/>
      <c r="J396" s="54"/>
      <c r="K396" s="54"/>
      <c r="L396" s="54"/>
      <c r="M396" s="54"/>
      <c r="N396" s="54"/>
      <c r="O396" s="54"/>
      <c r="P396" s="54"/>
      <c r="Q396" s="54"/>
      <c r="R396" s="54"/>
      <c r="S396" s="54"/>
      <c r="T396" s="54"/>
      <c r="U396" s="54"/>
      <c r="V396" s="54"/>
      <c r="W396" s="54"/>
      <c r="X396" s="54"/>
    </row>
    <row r="397" spans="1:24" customFormat="1" ht="15" customHeight="1" x14ac:dyDescent="0.2">
      <c r="A397" s="112"/>
      <c r="B397" s="125"/>
      <c r="C397" s="113"/>
      <c r="D397" s="57"/>
      <c r="E397" s="57"/>
      <c r="F397" s="57"/>
      <c r="G397" s="54"/>
      <c r="H397" s="54"/>
      <c r="I397" s="54"/>
      <c r="J397" s="54"/>
      <c r="K397" s="54"/>
      <c r="L397" s="54"/>
      <c r="M397" s="54"/>
      <c r="N397" s="54"/>
      <c r="O397" s="54"/>
      <c r="P397" s="54"/>
      <c r="Q397" s="54"/>
      <c r="R397" s="54"/>
      <c r="S397" s="54"/>
      <c r="T397" s="54"/>
      <c r="U397" s="54"/>
      <c r="V397" s="54"/>
      <c r="W397" s="54"/>
      <c r="X397" s="54"/>
    </row>
    <row r="398" spans="1:24" customFormat="1" ht="15" customHeight="1" x14ac:dyDescent="0.2">
      <c r="A398" s="112"/>
      <c r="B398" s="125"/>
      <c r="C398" s="113"/>
      <c r="D398" s="57"/>
      <c r="E398" s="57"/>
      <c r="F398" s="57"/>
      <c r="G398" s="54"/>
      <c r="H398" s="54"/>
      <c r="I398" s="54"/>
      <c r="J398" s="54"/>
      <c r="K398" s="54"/>
      <c r="L398" s="54"/>
      <c r="M398" s="54"/>
      <c r="N398" s="54"/>
      <c r="O398" s="54"/>
      <c r="P398" s="54"/>
      <c r="Q398" s="54"/>
      <c r="R398" s="54"/>
      <c r="S398" s="54"/>
      <c r="T398" s="54"/>
      <c r="U398" s="54"/>
      <c r="V398" s="54"/>
      <c r="W398" s="54"/>
      <c r="X398" s="54"/>
    </row>
    <row r="399" spans="1:24" customFormat="1" ht="15" customHeight="1" x14ac:dyDescent="0.2">
      <c r="A399" s="112"/>
      <c r="B399" s="125"/>
      <c r="C399" s="113"/>
      <c r="D399" s="57"/>
      <c r="E399" s="57"/>
      <c r="F399" s="57"/>
      <c r="G399" s="54"/>
      <c r="H399" s="54"/>
      <c r="I399" s="54"/>
      <c r="J399" s="54"/>
      <c r="K399" s="54"/>
      <c r="L399" s="54"/>
      <c r="M399" s="54"/>
      <c r="N399" s="54"/>
      <c r="O399" s="54"/>
      <c r="P399" s="54"/>
      <c r="Q399" s="54"/>
      <c r="R399" s="54"/>
      <c r="S399" s="54"/>
      <c r="T399" s="54"/>
      <c r="U399" s="54"/>
      <c r="V399" s="54"/>
      <c r="W399" s="54"/>
      <c r="X399" s="54"/>
    </row>
    <row r="400" spans="1:24" customFormat="1" ht="15" customHeight="1" x14ac:dyDescent="0.2">
      <c r="A400" s="112"/>
      <c r="B400" s="125"/>
      <c r="C400" s="113"/>
      <c r="D400" s="57"/>
      <c r="E400" s="57"/>
      <c r="F400" s="57"/>
      <c r="G400" s="54"/>
      <c r="H400" s="54"/>
      <c r="I400" s="54"/>
      <c r="J400" s="54"/>
      <c r="K400" s="54"/>
      <c r="L400" s="54"/>
      <c r="M400" s="54"/>
      <c r="N400" s="54"/>
      <c r="O400" s="54"/>
      <c r="P400" s="54"/>
      <c r="Q400" s="54"/>
      <c r="R400" s="54"/>
      <c r="S400" s="54"/>
      <c r="T400" s="54"/>
      <c r="U400" s="54"/>
      <c r="V400" s="54"/>
      <c r="W400" s="54"/>
      <c r="X400" s="54"/>
    </row>
    <row r="401" spans="1:24" customFormat="1" ht="15" customHeight="1" x14ac:dyDescent="0.2">
      <c r="A401" s="112"/>
      <c r="B401" s="125"/>
      <c r="C401" s="113"/>
      <c r="D401" s="57"/>
      <c r="E401" s="57"/>
      <c r="F401" s="57"/>
      <c r="G401" s="54"/>
      <c r="H401" s="54"/>
      <c r="I401" s="54"/>
      <c r="J401" s="54"/>
      <c r="K401" s="54"/>
      <c r="L401" s="54"/>
      <c r="M401" s="54"/>
      <c r="N401" s="54"/>
      <c r="O401" s="54"/>
      <c r="P401" s="54"/>
      <c r="Q401" s="54"/>
      <c r="R401" s="54"/>
      <c r="S401" s="54"/>
      <c r="T401" s="54"/>
      <c r="U401" s="54"/>
      <c r="V401" s="54"/>
      <c r="W401" s="54"/>
      <c r="X401" s="54"/>
    </row>
    <row r="402" spans="1:24" customFormat="1" ht="15" customHeight="1" x14ac:dyDescent="0.2">
      <c r="A402" s="112"/>
      <c r="B402" s="125"/>
      <c r="C402" s="113"/>
      <c r="D402" s="57"/>
      <c r="E402" s="57"/>
      <c r="F402" s="57"/>
      <c r="G402" s="54"/>
      <c r="H402" s="54"/>
      <c r="I402" s="54"/>
      <c r="J402" s="54"/>
      <c r="K402" s="54"/>
      <c r="L402" s="54"/>
      <c r="M402" s="54"/>
      <c r="N402" s="54"/>
      <c r="O402" s="54"/>
      <c r="P402" s="54"/>
      <c r="Q402" s="54"/>
      <c r="R402" s="54"/>
      <c r="S402" s="54"/>
      <c r="T402" s="54"/>
      <c r="U402" s="54"/>
      <c r="V402" s="54"/>
      <c r="W402" s="54"/>
      <c r="X402" s="54"/>
    </row>
    <row r="403" spans="1:24" customFormat="1" ht="15" customHeight="1" x14ac:dyDescent="0.2">
      <c r="A403" s="112"/>
      <c r="B403" s="125"/>
      <c r="C403" s="113"/>
      <c r="D403" s="57"/>
      <c r="E403" s="57"/>
      <c r="F403" s="57"/>
      <c r="G403" s="54"/>
      <c r="H403" s="54"/>
      <c r="I403" s="54"/>
      <c r="J403" s="54"/>
      <c r="K403" s="54"/>
      <c r="L403" s="54"/>
      <c r="M403" s="54"/>
      <c r="N403" s="54"/>
      <c r="O403" s="54"/>
      <c r="P403" s="54"/>
      <c r="Q403" s="54"/>
      <c r="R403" s="54"/>
      <c r="S403" s="54"/>
      <c r="T403" s="54"/>
      <c r="U403" s="54"/>
      <c r="V403" s="54"/>
      <c r="W403" s="54"/>
      <c r="X403" s="54"/>
    </row>
    <row r="404" spans="1:24" customFormat="1" ht="15" customHeight="1" x14ac:dyDescent="0.2">
      <c r="A404" s="112"/>
      <c r="B404" s="125"/>
      <c r="C404" s="113"/>
      <c r="D404" s="57"/>
      <c r="E404" s="57"/>
      <c r="F404" s="57"/>
      <c r="G404" s="54"/>
      <c r="H404" s="54"/>
      <c r="I404" s="54"/>
      <c r="J404" s="54"/>
      <c r="K404" s="54"/>
      <c r="L404" s="54"/>
      <c r="M404" s="54"/>
      <c r="N404" s="54"/>
      <c r="O404" s="54"/>
      <c r="P404" s="54"/>
      <c r="Q404" s="54"/>
      <c r="R404" s="54"/>
      <c r="S404" s="54"/>
      <c r="T404" s="54"/>
      <c r="U404" s="54"/>
      <c r="V404" s="54"/>
      <c r="W404" s="54"/>
      <c r="X404" s="54"/>
    </row>
    <row r="405" spans="1:24" customFormat="1" ht="15" customHeight="1" x14ac:dyDescent="0.2">
      <c r="A405" s="112"/>
      <c r="B405" s="125"/>
      <c r="C405" s="113"/>
      <c r="D405" s="57"/>
      <c r="E405" s="57"/>
      <c r="F405" s="57"/>
      <c r="G405" s="54"/>
      <c r="H405" s="54"/>
      <c r="I405" s="54"/>
      <c r="J405" s="54"/>
      <c r="K405" s="54"/>
      <c r="L405" s="54"/>
      <c r="M405" s="54"/>
      <c r="N405" s="54"/>
      <c r="O405" s="54"/>
      <c r="P405" s="54"/>
      <c r="Q405" s="54"/>
      <c r="R405" s="54"/>
      <c r="S405" s="54"/>
      <c r="T405" s="54"/>
      <c r="U405" s="54"/>
      <c r="V405" s="54"/>
      <c r="W405" s="54"/>
      <c r="X405" s="54"/>
    </row>
    <row r="406" spans="1:24" customFormat="1" ht="15" customHeight="1" x14ac:dyDescent="0.2">
      <c r="A406" s="112"/>
      <c r="B406" s="125"/>
      <c r="C406" s="113"/>
      <c r="D406" s="57"/>
      <c r="E406" s="57"/>
      <c r="F406" s="57"/>
      <c r="G406" s="54"/>
      <c r="H406" s="54"/>
      <c r="I406" s="54"/>
      <c r="J406" s="54"/>
      <c r="K406" s="54"/>
      <c r="L406" s="54"/>
      <c r="M406" s="54"/>
      <c r="N406" s="54"/>
      <c r="O406" s="54"/>
      <c r="P406" s="54"/>
      <c r="Q406" s="54"/>
      <c r="R406" s="54"/>
      <c r="S406" s="54"/>
      <c r="T406" s="54"/>
      <c r="U406" s="54"/>
      <c r="V406" s="54"/>
      <c r="W406" s="54"/>
      <c r="X406" s="54"/>
    </row>
    <row r="407" spans="1:24" customFormat="1" ht="15" customHeight="1" x14ac:dyDescent="0.2">
      <c r="A407" s="112"/>
      <c r="B407" s="125"/>
      <c r="C407" s="113"/>
      <c r="D407" s="57"/>
      <c r="E407" s="57"/>
      <c r="F407" s="57"/>
      <c r="G407" s="54"/>
      <c r="H407" s="54"/>
      <c r="I407" s="54"/>
      <c r="J407" s="54"/>
      <c r="K407" s="54"/>
      <c r="L407" s="54"/>
      <c r="M407" s="54"/>
      <c r="N407" s="54"/>
      <c r="O407" s="54"/>
      <c r="P407" s="54"/>
      <c r="Q407" s="54"/>
      <c r="R407" s="54"/>
      <c r="S407" s="54"/>
      <c r="T407" s="54"/>
      <c r="U407" s="54"/>
      <c r="V407" s="54"/>
      <c r="W407" s="54"/>
      <c r="X407" s="54"/>
    </row>
    <row r="408" spans="1:24" customFormat="1" ht="15" customHeight="1" x14ac:dyDescent="0.2">
      <c r="A408" s="112"/>
      <c r="B408" s="125"/>
      <c r="C408" s="113"/>
      <c r="D408" s="57"/>
      <c r="E408" s="57"/>
      <c r="F408" s="57"/>
      <c r="G408" s="54"/>
      <c r="H408" s="54"/>
      <c r="I408" s="54"/>
      <c r="J408" s="54"/>
      <c r="K408" s="54"/>
      <c r="L408" s="54"/>
      <c r="M408" s="54"/>
      <c r="N408" s="54"/>
      <c r="O408" s="54"/>
      <c r="P408" s="54"/>
      <c r="Q408" s="54"/>
      <c r="R408" s="54"/>
      <c r="S408" s="54"/>
      <c r="T408" s="54"/>
      <c r="U408" s="54"/>
      <c r="V408" s="54"/>
      <c r="W408" s="54"/>
      <c r="X408" s="54"/>
    </row>
    <row r="409" spans="1:24" customFormat="1" ht="15" customHeight="1" x14ac:dyDescent="0.2">
      <c r="A409" s="112"/>
      <c r="B409" s="125"/>
      <c r="C409" s="113"/>
      <c r="D409" s="57"/>
      <c r="E409" s="57"/>
      <c r="F409" s="57"/>
      <c r="G409" s="54"/>
      <c r="H409" s="54"/>
      <c r="I409" s="54"/>
      <c r="J409" s="54"/>
      <c r="K409" s="54"/>
      <c r="L409" s="54"/>
      <c r="M409" s="54"/>
      <c r="N409" s="54"/>
      <c r="O409" s="54"/>
      <c r="P409" s="54"/>
      <c r="Q409" s="54"/>
      <c r="R409" s="54"/>
      <c r="S409" s="54"/>
      <c r="T409" s="54"/>
      <c r="U409" s="54"/>
      <c r="V409" s="54"/>
      <c r="W409" s="54"/>
      <c r="X409" s="54"/>
    </row>
    <row r="410" spans="1:24" customFormat="1" ht="15" customHeight="1" x14ac:dyDescent="0.2">
      <c r="A410" s="112"/>
      <c r="B410" s="125"/>
      <c r="C410" s="113"/>
      <c r="D410" s="57"/>
      <c r="E410" s="57"/>
      <c r="F410" s="57"/>
      <c r="G410" s="54"/>
      <c r="H410" s="54"/>
      <c r="I410" s="54"/>
      <c r="J410" s="54"/>
      <c r="K410" s="54"/>
      <c r="L410" s="54"/>
      <c r="M410" s="54"/>
      <c r="N410" s="54"/>
      <c r="O410" s="54"/>
      <c r="P410" s="54"/>
      <c r="Q410" s="54"/>
      <c r="R410" s="54"/>
      <c r="S410" s="54"/>
      <c r="T410" s="54"/>
      <c r="U410" s="54"/>
      <c r="V410" s="54"/>
      <c r="W410" s="54"/>
      <c r="X410" s="54"/>
    </row>
    <row r="411" spans="1:24" customFormat="1" ht="15" customHeight="1" x14ac:dyDescent="0.2">
      <c r="A411" s="112"/>
      <c r="B411" s="125"/>
      <c r="C411" s="113"/>
      <c r="D411" s="57"/>
      <c r="E411" s="57"/>
      <c r="F411" s="57"/>
      <c r="G411" s="54"/>
      <c r="H411" s="54"/>
      <c r="I411" s="54"/>
      <c r="J411" s="54"/>
      <c r="K411" s="54"/>
      <c r="L411" s="54"/>
      <c r="M411" s="54"/>
      <c r="N411" s="54"/>
      <c r="O411" s="54"/>
      <c r="P411" s="54"/>
      <c r="Q411" s="54"/>
      <c r="R411" s="54"/>
      <c r="S411" s="54"/>
      <c r="T411" s="54"/>
      <c r="U411" s="54"/>
      <c r="V411" s="54"/>
      <c r="W411" s="54"/>
      <c r="X411" s="54"/>
    </row>
    <row r="412" spans="1:24" customFormat="1" ht="15" customHeight="1" x14ac:dyDescent="0.2">
      <c r="A412" s="112"/>
      <c r="B412" s="125"/>
      <c r="C412" s="113"/>
      <c r="D412" s="57"/>
      <c r="E412" s="57"/>
      <c r="F412" s="57"/>
      <c r="G412" s="54"/>
      <c r="H412" s="54"/>
      <c r="I412" s="54"/>
      <c r="J412" s="54"/>
      <c r="K412" s="54"/>
      <c r="L412" s="54"/>
      <c r="M412" s="54"/>
      <c r="N412" s="54"/>
      <c r="O412" s="54"/>
      <c r="P412" s="54"/>
      <c r="Q412" s="54"/>
      <c r="R412" s="54"/>
      <c r="S412" s="54"/>
      <c r="T412" s="54"/>
      <c r="U412" s="54"/>
      <c r="V412" s="54"/>
      <c r="W412" s="54"/>
      <c r="X412" s="54"/>
    </row>
    <row r="413" spans="1:24" customFormat="1" ht="15" customHeight="1" x14ac:dyDescent="0.2">
      <c r="A413" s="112"/>
      <c r="B413" s="125"/>
      <c r="C413" s="113"/>
      <c r="D413" s="57"/>
      <c r="E413" s="57"/>
      <c r="F413" s="57"/>
      <c r="G413" s="54"/>
      <c r="H413" s="54"/>
      <c r="I413" s="54"/>
      <c r="J413" s="54"/>
      <c r="K413" s="54"/>
      <c r="L413" s="54"/>
      <c r="M413" s="54"/>
      <c r="N413" s="54"/>
      <c r="O413" s="54"/>
      <c r="P413" s="54"/>
      <c r="Q413" s="54"/>
      <c r="R413" s="54"/>
      <c r="S413" s="54"/>
      <c r="T413" s="54"/>
      <c r="U413" s="54"/>
      <c r="V413" s="54"/>
      <c r="W413" s="54"/>
      <c r="X413" s="54"/>
    </row>
    <row r="414" spans="1:24" customFormat="1" ht="15" customHeight="1" x14ac:dyDescent="0.2">
      <c r="A414" s="112"/>
      <c r="B414" s="125"/>
      <c r="C414" s="113"/>
      <c r="D414" s="57"/>
      <c r="E414" s="57"/>
      <c r="F414" s="57"/>
      <c r="G414" s="54"/>
      <c r="H414" s="54"/>
      <c r="I414" s="54"/>
      <c r="J414" s="54"/>
      <c r="K414" s="54"/>
      <c r="L414" s="54"/>
      <c r="M414" s="54"/>
      <c r="N414" s="54"/>
      <c r="O414" s="54"/>
      <c r="P414" s="54"/>
      <c r="Q414" s="54"/>
      <c r="R414" s="54"/>
      <c r="S414" s="54"/>
      <c r="T414" s="54"/>
      <c r="U414" s="54"/>
      <c r="V414" s="54"/>
      <c r="W414" s="54"/>
      <c r="X414" s="54"/>
    </row>
    <row r="415" spans="1:24" customFormat="1" ht="15" customHeight="1" x14ac:dyDescent="0.2">
      <c r="A415" s="112"/>
      <c r="B415" s="125"/>
      <c r="C415" s="113"/>
      <c r="D415" s="57"/>
      <c r="E415" s="57"/>
      <c r="F415" s="57"/>
      <c r="G415" s="54"/>
      <c r="H415" s="54"/>
      <c r="I415" s="54"/>
      <c r="J415" s="54"/>
      <c r="K415" s="54"/>
      <c r="L415" s="54"/>
      <c r="M415" s="54"/>
      <c r="N415" s="54"/>
      <c r="O415" s="54"/>
      <c r="P415" s="54"/>
      <c r="Q415" s="54"/>
      <c r="R415" s="54"/>
      <c r="S415" s="54"/>
      <c r="T415" s="54"/>
      <c r="U415" s="54"/>
      <c r="V415" s="54"/>
      <c r="W415" s="54"/>
      <c r="X415" s="54"/>
    </row>
    <row r="416" spans="1:24" customFormat="1" ht="15" customHeight="1" x14ac:dyDescent="0.2">
      <c r="A416" s="112"/>
      <c r="B416" s="125"/>
      <c r="C416" s="113"/>
      <c r="D416" s="57"/>
      <c r="E416" s="57"/>
      <c r="F416" s="57"/>
      <c r="G416" s="54"/>
      <c r="H416" s="54"/>
      <c r="I416" s="54"/>
      <c r="J416" s="54"/>
      <c r="K416" s="54"/>
      <c r="L416" s="54"/>
      <c r="M416" s="54"/>
      <c r="N416" s="54"/>
      <c r="O416" s="54"/>
      <c r="P416" s="54"/>
      <c r="Q416" s="54"/>
      <c r="R416" s="54"/>
      <c r="S416" s="54"/>
      <c r="T416" s="54"/>
      <c r="U416" s="54"/>
      <c r="V416" s="54"/>
      <c r="W416" s="54"/>
      <c r="X416" s="54"/>
    </row>
    <row r="417" spans="1:24" customFormat="1" ht="15" customHeight="1" x14ac:dyDescent="0.2">
      <c r="A417" s="112"/>
      <c r="B417" s="125"/>
      <c r="C417" s="113"/>
      <c r="D417" s="57"/>
      <c r="E417" s="57"/>
      <c r="F417" s="57"/>
      <c r="G417" s="54"/>
      <c r="H417" s="54"/>
      <c r="I417" s="54"/>
      <c r="J417" s="54"/>
      <c r="K417" s="54"/>
      <c r="L417" s="54"/>
      <c r="M417" s="54"/>
      <c r="N417" s="54"/>
      <c r="O417" s="54"/>
      <c r="P417" s="54"/>
      <c r="Q417" s="54"/>
      <c r="R417" s="54"/>
      <c r="S417" s="54"/>
      <c r="T417" s="54"/>
      <c r="U417" s="54"/>
      <c r="V417" s="54"/>
      <c r="W417" s="54"/>
      <c r="X417" s="54"/>
    </row>
    <row r="418" spans="1:24" customFormat="1" ht="15" customHeight="1" x14ac:dyDescent="0.2">
      <c r="A418" s="112"/>
      <c r="B418" s="125"/>
      <c r="C418" s="113"/>
      <c r="D418" s="57"/>
      <c r="E418" s="57"/>
      <c r="F418" s="57"/>
      <c r="G418" s="54"/>
      <c r="H418" s="54"/>
      <c r="I418" s="54"/>
      <c r="J418" s="54"/>
      <c r="K418" s="54"/>
      <c r="L418" s="54"/>
      <c r="M418" s="54"/>
      <c r="N418" s="54"/>
      <c r="O418" s="54"/>
      <c r="P418" s="54"/>
      <c r="Q418" s="54"/>
      <c r="R418" s="54"/>
      <c r="S418" s="54"/>
      <c r="T418" s="54"/>
      <c r="U418" s="54"/>
      <c r="V418" s="54"/>
      <c r="W418" s="54"/>
      <c r="X418" s="54"/>
    </row>
    <row r="419" spans="1:24" customFormat="1" ht="15" customHeight="1" x14ac:dyDescent="0.2">
      <c r="A419" s="112"/>
      <c r="B419" s="125"/>
      <c r="C419" s="113"/>
      <c r="D419" s="57"/>
      <c r="E419" s="57"/>
      <c r="F419" s="57"/>
      <c r="G419" s="54"/>
      <c r="H419" s="54"/>
      <c r="I419" s="54"/>
      <c r="J419" s="54"/>
      <c r="K419" s="54"/>
      <c r="L419" s="54"/>
      <c r="M419" s="54"/>
      <c r="N419" s="54"/>
      <c r="O419" s="54"/>
      <c r="P419" s="54"/>
      <c r="Q419" s="54"/>
      <c r="R419" s="54"/>
      <c r="S419" s="54"/>
      <c r="T419" s="54"/>
      <c r="U419" s="54"/>
      <c r="V419" s="54"/>
      <c r="W419" s="54"/>
      <c r="X419" s="54"/>
    </row>
    <row r="420" spans="1:24" customFormat="1" ht="15" customHeight="1" x14ac:dyDescent="0.2">
      <c r="A420" s="112"/>
      <c r="B420" s="125"/>
      <c r="C420" s="113"/>
      <c r="D420" s="57"/>
      <c r="E420" s="57"/>
      <c r="F420" s="57"/>
      <c r="G420" s="54"/>
      <c r="H420" s="54"/>
      <c r="I420" s="54"/>
      <c r="J420" s="54"/>
      <c r="K420" s="54"/>
      <c r="L420" s="54"/>
      <c r="M420" s="54"/>
      <c r="N420" s="54"/>
      <c r="O420" s="54"/>
      <c r="P420" s="54"/>
      <c r="Q420" s="54"/>
      <c r="R420" s="54"/>
      <c r="S420" s="54"/>
      <c r="T420" s="54"/>
      <c r="U420" s="54"/>
      <c r="V420" s="54"/>
      <c r="W420" s="54"/>
      <c r="X420" s="54"/>
    </row>
    <row r="421" spans="1:24" customFormat="1" ht="15" customHeight="1" x14ac:dyDescent="0.2">
      <c r="A421" s="112"/>
      <c r="B421" s="125"/>
      <c r="C421" s="113"/>
      <c r="D421" s="57"/>
      <c r="E421" s="57"/>
      <c r="F421" s="57"/>
      <c r="G421" s="54"/>
      <c r="H421" s="54"/>
      <c r="I421" s="54"/>
      <c r="J421" s="54"/>
      <c r="K421" s="54"/>
      <c r="L421" s="54"/>
      <c r="M421" s="54"/>
      <c r="N421" s="54"/>
      <c r="O421" s="54"/>
      <c r="P421" s="54"/>
      <c r="Q421" s="54"/>
      <c r="R421" s="54"/>
      <c r="S421" s="54"/>
      <c r="T421" s="54"/>
      <c r="U421" s="54"/>
      <c r="V421" s="54"/>
      <c r="W421" s="54"/>
      <c r="X421" s="54"/>
    </row>
    <row r="422" spans="1:24" customFormat="1" ht="15" customHeight="1" x14ac:dyDescent="0.2">
      <c r="A422" s="112"/>
      <c r="B422" s="125"/>
      <c r="C422" s="113"/>
      <c r="D422" s="57"/>
      <c r="E422" s="57"/>
      <c r="F422" s="57"/>
      <c r="G422" s="54"/>
      <c r="H422" s="54"/>
      <c r="I422" s="54"/>
      <c r="J422" s="54"/>
      <c r="K422" s="54"/>
      <c r="L422" s="54"/>
      <c r="M422" s="54"/>
      <c r="N422" s="54"/>
      <c r="O422" s="54"/>
      <c r="P422" s="54"/>
      <c r="Q422" s="54"/>
      <c r="R422" s="54"/>
      <c r="S422" s="54"/>
      <c r="T422" s="54"/>
      <c r="U422" s="54"/>
      <c r="V422" s="54"/>
      <c r="W422" s="54"/>
      <c r="X422" s="54"/>
    </row>
    <row r="423" spans="1:24" customFormat="1" ht="15" customHeight="1" x14ac:dyDescent="0.2">
      <c r="A423" s="112"/>
      <c r="B423" s="125"/>
      <c r="C423" s="113"/>
      <c r="D423" s="57"/>
      <c r="E423" s="57"/>
      <c r="F423" s="57"/>
      <c r="G423" s="54"/>
      <c r="H423" s="54"/>
      <c r="I423" s="54"/>
      <c r="J423" s="54"/>
      <c r="K423" s="54"/>
      <c r="L423" s="54"/>
      <c r="M423" s="54"/>
      <c r="N423" s="54"/>
      <c r="O423" s="54"/>
      <c r="P423" s="54"/>
      <c r="Q423" s="54"/>
      <c r="R423" s="54"/>
      <c r="S423" s="54"/>
      <c r="T423" s="54"/>
      <c r="U423" s="54"/>
      <c r="V423" s="54"/>
      <c r="W423" s="54"/>
      <c r="X423" s="54"/>
    </row>
    <row r="424" spans="1:24" customFormat="1" ht="15" customHeight="1" x14ac:dyDescent="0.2">
      <c r="A424" s="112"/>
      <c r="B424" s="125"/>
      <c r="C424" s="113"/>
      <c r="D424" s="57"/>
      <c r="E424" s="57"/>
      <c r="F424" s="57"/>
      <c r="G424" s="54"/>
      <c r="H424" s="54"/>
      <c r="I424" s="54"/>
      <c r="J424" s="54"/>
      <c r="K424" s="54"/>
      <c r="L424" s="54"/>
      <c r="M424" s="54"/>
      <c r="N424" s="54"/>
      <c r="O424" s="54"/>
      <c r="P424" s="54"/>
      <c r="Q424" s="54"/>
      <c r="R424" s="54"/>
      <c r="S424" s="54"/>
      <c r="T424" s="54"/>
      <c r="U424" s="54"/>
      <c r="V424" s="54"/>
      <c r="W424" s="54"/>
      <c r="X424" s="54"/>
    </row>
    <row r="425" spans="1:24" customFormat="1" ht="15" customHeight="1" x14ac:dyDescent="0.2">
      <c r="A425" s="112"/>
      <c r="B425" s="125"/>
      <c r="C425" s="113"/>
      <c r="D425" s="57"/>
      <c r="E425" s="57"/>
      <c r="F425" s="57"/>
      <c r="G425" s="54"/>
      <c r="H425" s="54"/>
      <c r="I425" s="54"/>
      <c r="J425" s="54"/>
      <c r="K425" s="54"/>
      <c r="L425" s="54"/>
      <c r="M425" s="54"/>
      <c r="N425" s="54"/>
      <c r="O425" s="54"/>
      <c r="P425" s="54"/>
      <c r="Q425" s="54"/>
      <c r="R425" s="54"/>
      <c r="S425" s="54"/>
      <c r="T425" s="54"/>
      <c r="U425" s="54"/>
      <c r="V425" s="54"/>
      <c r="W425" s="54"/>
      <c r="X425" s="54"/>
    </row>
    <row r="426" spans="1:24" customFormat="1" ht="15" customHeight="1" x14ac:dyDescent="0.2">
      <c r="A426" s="112"/>
      <c r="B426" s="125"/>
      <c r="C426" s="113"/>
      <c r="D426" s="57"/>
      <c r="E426" s="57"/>
      <c r="F426" s="57"/>
      <c r="G426" s="54"/>
      <c r="H426" s="54"/>
      <c r="I426" s="54"/>
      <c r="J426" s="54"/>
      <c r="K426" s="54"/>
      <c r="L426" s="54"/>
      <c r="M426" s="54"/>
      <c r="N426" s="54"/>
      <c r="O426" s="54"/>
      <c r="P426" s="54"/>
      <c r="Q426" s="54"/>
      <c r="R426" s="54"/>
      <c r="S426" s="54"/>
      <c r="T426" s="54"/>
      <c r="U426" s="54"/>
      <c r="V426" s="54"/>
      <c r="W426" s="54"/>
      <c r="X426" s="54"/>
    </row>
    <row r="427" spans="1:24" customFormat="1" ht="15" customHeight="1" x14ac:dyDescent="0.2">
      <c r="A427" s="112"/>
      <c r="B427" s="125"/>
      <c r="C427" s="113"/>
      <c r="D427" s="57"/>
      <c r="E427" s="57"/>
      <c r="F427" s="57"/>
      <c r="G427" s="54"/>
      <c r="H427" s="54"/>
      <c r="I427" s="54"/>
      <c r="J427" s="54"/>
      <c r="K427" s="54"/>
      <c r="L427" s="54"/>
      <c r="M427" s="54"/>
      <c r="N427" s="54"/>
      <c r="O427" s="54"/>
      <c r="P427" s="54"/>
      <c r="Q427" s="54"/>
      <c r="R427" s="54"/>
      <c r="S427" s="54"/>
      <c r="T427" s="54"/>
      <c r="U427" s="54"/>
      <c r="V427" s="54"/>
      <c r="W427" s="54"/>
      <c r="X427" s="54"/>
    </row>
    <row r="428" spans="1:24" customFormat="1" ht="15" customHeight="1" x14ac:dyDescent="0.2">
      <c r="A428" s="112"/>
      <c r="B428" s="125"/>
      <c r="C428" s="113"/>
      <c r="D428" s="57"/>
      <c r="E428" s="57"/>
      <c r="F428" s="57"/>
      <c r="G428" s="54"/>
      <c r="H428" s="54"/>
      <c r="I428" s="54"/>
      <c r="J428" s="54"/>
      <c r="K428" s="54"/>
      <c r="L428" s="54"/>
      <c r="M428" s="54"/>
      <c r="N428" s="54"/>
      <c r="O428" s="54"/>
      <c r="P428" s="54"/>
      <c r="Q428" s="54"/>
      <c r="R428" s="54"/>
      <c r="S428" s="54"/>
      <c r="T428" s="54"/>
      <c r="U428" s="54"/>
      <c r="V428" s="54"/>
      <c r="W428" s="54"/>
      <c r="X428" s="54"/>
    </row>
    <row r="429" spans="1:24" customFormat="1" ht="15" customHeight="1" x14ac:dyDescent="0.2">
      <c r="A429" s="112"/>
      <c r="B429" s="125"/>
      <c r="C429" s="113"/>
      <c r="D429" s="57"/>
      <c r="E429" s="57"/>
      <c r="F429" s="57"/>
      <c r="G429" s="54"/>
      <c r="H429" s="54"/>
      <c r="I429" s="54"/>
      <c r="J429" s="54"/>
      <c r="K429" s="54"/>
      <c r="L429" s="54"/>
      <c r="M429" s="54"/>
      <c r="N429" s="54"/>
      <c r="O429" s="54"/>
      <c r="P429" s="54"/>
      <c r="Q429" s="54"/>
      <c r="R429" s="54"/>
      <c r="S429" s="54"/>
      <c r="T429" s="54"/>
      <c r="U429" s="54"/>
      <c r="V429" s="54"/>
      <c r="W429" s="54"/>
      <c r="X429" s="54"/>
    </row>
    <row r="430" spans="1:24" customFormat="1" ht="15" customHeight="1" x14ac:dyDescent="0.2">
      <c r="A430" s="112"/>
      <c r="B430" s="125"/>
      <c r="C430" s="113"/>
      <c r="D430" s="57"/>
      <c r="E430" s="57"/>
      <c r="F430" s="57"/>
      <c r="G430" s="54"/>
      <c r="H430" s="54"/>
      <c r="I430" s="54"/>
      <c r="J430" s="54"/>
      <c r="K430" s="54"/>
      <c r="L430" s="54"/>
      <c r="M430" s="54"/>
      <c r="N430" s="54"/>
      <c r="O430" s="54"/>
      <c r="P430" s="54"/>
      <c r="Q430" s="54"/>
      <c r="R430" s="54"/>
      <c r="S430" s="54"/>
      <c r="T430" s="54"/>
      <c r="U430" s="54"/>
      <c r="V430" s="54"/>
      <c r="W430" s="54"/>
      <c r="X430" s="54"/>
    </row>
    <row r="431" spans="1:24" customFormat="1" ht="15" customHeight="1" x14ac:dyDescent="0.2">
      <c r="A431" s="112"/>
      <c r="B431" s="125"/>
      <c r="C431" s="113"/>
      <c r="D431" s="57"/>
      <c r="E431" s="57"/>
      <c r="F431" s="57"/>
      <c r="G431" s="54"/>
      <c r="H431" s="54"/>
      <c r="I431" s="54"/>
      <c r="J431" s="54"/>
      <c r="K431" s="54"/>
      <c r="L431" s="54"/>
      <c r="M431" s="54"/>
      <c r="N431" s="54"/>
      <c r="O431" s="54"/>
      <c r="P431" s="54"/>
      <c r="Q431" s="54"/>
      <c r="R431" s="54"/>
      <c r="S431" s="54"/>
      <c r="T431" s="54"/>
      <c r="U431" s="54"/>
      <c r="V431" s="54"/>
      <c r="W431" s="54"/>
      <c r="X431" s="54"/>
    </row>
    <row r="432" spans="1:24" customFormat="1" ht="15" customHeight="1" x14ac:dyDescent="0.2">
      <c r="A432" s="112"/>
      <c r="B432" s="125"/>
      <c r="C432" s="113"/>
      <c r="D432" s="57"/>
      <c r="E432" s="57"/>
      <c r="F432" s="57"/>
      <c r="G432" s="54"/>
      <c r="H432" s="54"/>
      <c r="I432" s="54"/>
      <c r="J432" s="54"/>
      <c r="K432" s="54"/>
      <c r="L432" s="54"/>
      <c r="M432" s="54"/>
      <c r="N432" s="54"/>
      <c r="O432" s="54"/>
      <c r="P432" s="54"/>
      <c r="Q432" s="54"/>
      <c r="R432" s="54"/>
      <c r="S432" s="54"/>
      <c r="T432" s="54"/>
      <c r="U432" s="54"/>
      <c r="V432" s="54"/>
      <c r="W432" s="54"/>
      <c r="X432" s="54"/>
    </row>
    <row r="433" spans="1:24" customFormat="1" ht="15" customHeight="1" x14ac:dyDescent="0.2">
      <c r="A433" s="112"/>
      <c r="B433" s="125"/>
      <c r="C433" s="113"/>
      <c r="D433" s="57"/>
      <c r="E433" s="57"/>
      <c r="F433" s="57"/>
      <c r="G433" s="54"/>
      <c r="H433" s="54"/>
      <c r="I433" s="54"/>
      <c r="J433" s="54"/>
      <c r="K433" s="54"/>
      <c r="L433" s="54"/>
      <c r="M433" s="54"/>
      <c r="N433" s="54"/>
      <c r="O433" s="54"/>
      <c r="P433" s="54"/>
      <c r="Q433" s="54"/>
      <c r="R433" s="54"/>
      <c r="S433" s="54"/>
      <c r="T433" s="54"/>
      <c r="U433" s="54"/>
      <c r="V433" s="54"/>
      <c r="W433" s="54"/>
      <c r="X433" s="54"/>
    </row>
    <row r="434" spans="1:24" customFormat="1" ht="15" customHeight="1" x14ac:dyDescent="0.2">
      <c r="A434" s="112"/>
      <c r="B434" s="125"/>
      <c r="C434" s="113"/>
      <c r="D434" s="57"/>
      <c r="E434" s="57"/>
      <c r="F434" s="57"/>
      <c r="G434" s="54"/>
      <c r="H434" s="54"/>
      <c r="I434" s="54"/>
      <c r="J434" s="54"/>
      <c r="K434" s="54"/>
      <c r="L434" s="54"/>
      <c r="M434" s="54"/>
      <c r="N434" s="54"/>
      <c r="O434" s="54"/>
      <c r="P434" s="54"/>
      <c r="Q434" s="54"/>
      <c r="R434" s="54"/>
      <c r="S434" s="54"/>
      <c r="T434" s="54"/>
      <c r="U434" s="54"/>
      <c r="V434" s="54"/>
      <c r="W434" s="54"/>
      <c r="X434" s="54"/>
    </row>
    <row r="435" spans="1:24" customFormat="1" ht="15" customHeight="1" x14ac:dyDescent="0.2">
      <c r="A435" s="112"/>
      <c r="B435" s="125"/>
      <c r="C435" s="113"/>
      <c r="D435" s="57"/>
      <c r="E435" s="57"/>
      <c r="F435" s="57"/>
      <c r="G435" s="54"/>
      <c r="H435" s="54"/>
      <c r="I435" s="54"/>
      <c r="J435" s="54"/>
      <c r="K435" s="54"/>
      <c r="L435" s="54"/>
      <c r="M435" s="54"/>
      <c r="N435" s="54"/>
      <c r="O435" s="54"/>
      <c r="P435" s="54"/>
      <c r="Q435" s="54"/>
      <c r="R435" s="54"/>
      <c r="S435" s="54"/>
      <c r="T435" s="54"/>
      <c r="U435" s="54"/>
      <c r="V435" s="54"/>
      <c r="W435" s="54"/>
      <c r="X435" s="54"/>
    </row>
    <row r="436" spans="1:24" customFormat="1" ht="15" customHeight="1" x14ac:dyDescent="0.2">
      <c r="A436" s="112"/>
      <c r="B436" s="125"/>
      <c r="C436" s="113"/>
      <c r="D436" s="57"/>
      <c r="E436" s="57"/>
      <c r="F436" s="57"/>
      <c r="G436" s="54"/>
      <c r="H436" s="54"/>
      <c r="I436" s="54"/>
      <c r="J436" s="54"/>
      <c r="K436" s="54"/>
      <c r="L436" s="54"/>
      <c r="M436" s="54"/>
      <c r="N436" s="54"/>
      <c r="O436" s="54"/>
      <c r="P436" s="54"/>
      <c r="Q436" s="54"/>
      <c r="R436" s="54"/>
      <c r="S436" s="54"/>
      <c r="T436" s="54"/>
      <c r="U436" s="54"/>
      <c r="V436" s="54"/>
      <c r="W436" s="54"/>
      <c r="X436" s="54"/>
    </row>
    <row r="437" spans="1:24" customFormat="1" ht="15" customHeight="1" x14ac:dyDescent="0.2">
      <c r="A437" s="112"/>
      <c r="B437" s="125"/>
      <c r="C437" s="113"/>
      <c r="D437" s="57"/>
      <c r="E437" s="57"/>
      <c r="F437" s="57"/>
      <c r="G437" s="54"/>
      <c r="H437" s="54"/>
      <c r="I437" s="54"/>
      <c r="J437" s="54"/>
      <c r="K437" s="54"/>
      <c r="L437" s="54"/>
      <c r="M437" s="54"/>
      <c r="N437" s="54"/>
      <c r="O437" s="54"/>
      <c r="P437" s="54"/>
      <c r="Q437" s="54"/>
      <c r="R437" s="54"/>
      <c r="S437" s="54"/>
      <c r="T437" s="54"/>
      <c r="U437" s="54"/>
      <c r="V437" s="54"/>
      <c r="W437" s="54"/>
      <c r="X437" s="54"/>
    </row>
    <row r="438" spans="1:24" customFormat="1" ht="15" customHeight="1" x14ac:dyDescent="0.2">
      <c r="A438" s="112"/>
      <c r="B438" s="125"/>
      <c r="C438" s="113"/>
      <c r="D438" s="57"/>
      <c r="E438" s="57"/>
      <c r="F438" s="57"/>
      <c r="G438" s="54"/>
      <c r="H438" s="54"/>
      <c r="I438" s="54"/>
      <c r="J438" s="54"/>
      <c r="K438" s="54"/>
      <c r="L438" s="54"/>
      <c r="M438" s="54"/>
      <c r="N438" s="54"/>
      <c r="O438" s="54"/>
      <c r="P438" s="54"/>
      <c r="Q438" s="54"/>
      <c r="R438" s="54"/>
      <c r="S438" s="54"/>
      <c r="T438" s="54"/>
      <c r="U438" s="54"/>
      <c r="V438" s="54"/>
      <c r="W438" s="54"/>
      <c r="X438" s="54"/>
    </row>
    <row r="439" spans="1:24" customFormat="1" ht="15" customHeight="1" x14ac:dyDescent="0.2">
      <c r="A439" s="112"/>
      <c r="B439" s="125"/>
      <c r="C439" s="113"/>
      <c r="D439" s="57"/>
      <c r="E439" s="57"/>
      <c r="F439" s="57"/>
      <c r="G439" s="54"/>
      <c r="H439" s="54"/>
      <c r="I439" s="54"/>
      <c r="J439" s="54"/>
      <c r="K439" s="54"/>
      <c r="L439" s="54"/>
      <c r="M439" s="54"/>
      <c r="N439" s="54"/>
      <c r="O439" s="54"/>
      <c r="P439" s="54"/>
      <c r="Q439" s="54"/>
      <c r="R439" s="54"/>
      <c r="S439" s="54"/>
      <c r="T439" s="54"/>
      <c r="U439" s="54"/>
      <c r="V439" s="54"/>
      <c r="W439" s="54"/>
      <c r="X439" s="54"/>
    </row>
    <row r="440" spans="1:24" customFormat="1" ht="15" customHeight="1" x14ac:dyDescent="0.2">
      <c r="A440" s="112"/>
      <c r="B440" s="125"/>
      <c r="C440" s="113"/>
      <c r="D440" s="57"/>
      <c r="E440" s="57"/>
      <c r="F440" s="57"/>
      <c r="G440" s="54"/>
      <c r="H440" s="54"/>
      <c r="I440" s="54"/>
      <c r="J440" s="54"/>
      <c r="K440" s="54"/>
      <c r="L440" s="54"/>
      <c r="M440" s="54"/>
      <c r="N440" s="54"/>
      <c r="O440" s="54"/>
      <c r="P440" s="54"/>
      <c r="Q440" s="54"/>
      <c r="R440" s="54"/>
      <c r="S440" s="54"/>
      <c r="T440" s="54"/>
      <c r="U440" s="54"/>
      <c r="V440" s="54"/>
      <c r="W440" s="54"/>
      <c r="X440" s="54"/>
    </row>
    <row r="441" spans="1:24" customFormat="1" ht="15" customHeight="1" x14ac:dyDescent="0.2">
      <c r="A441" s="112"/>
      <c r="B441" s="125"/>
      <c r="C441" s="113"/>
      <c r="D441" s="57"/>
      <c r="E441" s="57"/>
      <c r="F441" s="57"/>
      <c r="G441" s="54"/>
      <c r="H441" s="54"/>
      <c r="I441" s="54"/>
      <c r="J441" s="54"/>
      <c r="K441" s="54"/>
      <c r="L441" s="54"/>
      <c r="M441" s="54"/>
      <c r="N441" s="54"/>
      <c r="O441" s="54"/>
      <c r="P441" s="54"/>
      <c r="Q441" s="54"/>
      <c r="R441" s="54"/>
      <c r="S441" s="54"/>
      <c r="T441" s="54"/>
      <c r="U441" s="54"/>
      <c r="V441" s="54"/>
      <c r="W441" s="54"/>
      <c r="X441" s="54"/>
    </row>
    <row r="442" spans="1:24" customFormat="1" ht="15" customHeight="1" x14ac:dyDescent="0.2">
      <c r="A442" s="112"/>
      <c r="B442" s="125"/>
      <c r="C442" s="113"/>
      <c r="D442" s="57"/>
      <c r="E442" s="57"/>
      <c r="F442" s="57"/>
      <c r="G442" s="54"/>
      <c r="H442" s="54"/>
      <c r="I442" s="54"/>
      <c r="J442" s="54"/>
      <c r="K442" s="54"/>
      <c r="L442" s="54"/>
      <c r="M442" s="54"/>
      <c r="N442" s="54"/>
      <c r="O442" s="54"/>
      <c r="P442" s="54"/>
      <c r="Q442" s="54"/>
      <c r="R442" s="54"/>
      <c r="S442" s="54"/>
      <c r="T442" s="54"/>
      <c r="U442" s="54"/>
      <c r="V442" s="54"/>
      <c r="W442" s="54"/>
      <c r="X442" s="54"/>
    </row>
    <row r="443" spans="1:24" customFormat="1" ht="15" customHeight="1" x14ac:dyDescent="0.2">
      <c r="A443" s="112"/>
      <c r="B443" s="125"/>
      <c r="C443" s="113"/>
      <c r="D443" s="57"/>
      <c r="E443" s="57"/>
      <c r="F443" s="57"/>
      <c r="G443" s="54"/>
      <c r="H443" s="54"/>
      <c r="I443" s="54"/>
      <c r="J443" s="54"/>
      <c r="K443" s="54"/>
      <c r="L443" s="54"/>
      <c r="M443" s="54"/>
      <c r="N443" s="54"/>
      <c r="O443" s="54"/>
      <c r="P443" s="54"/>
      <c r="Q443" s="54"/>
      <c r="R443" s="54"/>
      <c r="S443" s="54"/>
      <c r="T443" s="54"/>
      <c r="U443" s="54"/>
      <c r="V443" s="54"/>
      <c r="W443" s="54"/>
      <c r="X443" s="54"/>
    </row>
    <row r="444" spans="1:24" customFormat="1" ht="15" customHeight="1" x14ac:dyDescent="0.2">
      <c r="A444" s="112"/>
      <c r="B444" s="125"/>
      <c r="C444" s="113"/>
      <c r="D444" s="57"/>
      <c r="E444" s="57"/>
      <c r="F444" s="57"/>
      <c r="G444" s="54"/>
      <c r="H444" s="54"/>
      <c r="I444" s="54"/>
      <c r="J444" s="54"/>
      <c r="K444" s="54"/>
      <c r="L444" s="54"/>
      <c r="M444" s="54"/>
      <c r="N444" s="54"/>
      <c r="O444" s="54"/>
      <c r="P444" s="54"/>
      <c r="Q444" s="54"/>
      <c r="R444" s="54"/>
      <c r="S444" s="54"/>
      <c r="T444" s="54"/>
      <c r="U444" s="54"/>
      <c r="V444" s="54"/>
      <c r="W444" s="54"/>
      <c r="X444" s="54"/>
    </row>
    <row r="445" spans="1:24" customFormat="1" ht="15" customHeight="1" x14ac:dyDescent="0.2">
      <c r="A445" s="112"/>
      <c r="B445" s="125"/>
      <c r="C445" s="113"/>
      <c r="D445" s="57"/>
      <c r="E445" s="57"/>
      <c r="F445" s="57"/>
      <c r="G445" s="54"/>
      <c r="H445" s="54"/>
      <c r="I445" s="54"/>
      <c r="J445" s="54"/>
      <c r="K445" s="54"/>
      <c r="L445" s="54"/>
      <c r="M445" s="54"/>
      <c r="N445" s="54"/>
      <c r="O445" s="54"/>
      <c r="P445" s="54"/>
      <c r="Q445" s="54"/>
      <c r="R445" s="54"/>
      <c r="S445" s="54"/>
      <c r="T445" s="54"/>
      <c r="U445" s="54"/>
      <c r="V445" s="54"/>
      <c r="W445" s="54"/>
      <c r="X445" s="54"/>
    </row>
    <row r="446" spans="1:24" customFormat="1" ht="15" customHeight="1" x14ac:dyDescent="0.2">
      <c r="A446" s="112"/>
      <c r="B446" s="125"/>
      <c r="C446" s="113"/>
      <c r="D446" s="57"/>
      <c r="E446" s="57"/>
      <c r="F446" s="57"/>
      <c r="G446" s="54"/>
      <c r="H446" s="54"/>
      <c r="I446" s="54"/>
      <c r="J446" s="54"/>
      <c r="K446" s="54"/>
      <c r="L446" s="54"/>
      <c r="M446" s="54"/>
      <c r="N446" s="54"/>
      <c r="O446" s="54"/>
      <c r="P446" s="54"/>
      <c r="Q446" s="54"/>
      <c r="R446" s="54"/>
      <c r="S446" s="54"/>
      <c r="T446" s="54"/>
      <c r="U446" s="54"/>
      <c r="V446" s="54"/>
      <c r="W446" s="54"/>
      <c r="X446" s="54"/>
    </row>
    <row r="447" spans="1:24" customFormat="1" ht="15" customHeight="1" x14ac:dyDescent="0.2">
      <c r="A447" s="112"/>
      <c r="B447" s="125"/>
      <c r="C447" s="113"/>
      <c r="D447" s="57"/>
      <c r="E447" s="57"/>
      <c r="F447" s="57"/>
      <c r="G447" s="54"/>
      <c r="H447" s="54"/>
      <c r="I447" s="54"/>
      <c r="J447" s="54"/>
      <c r="K447" s="54"/>
      <c r="L447" s="54"/>
      <c r="M447" s="54"/>
      <c r="N447" s="54"/>
      <c r="O447" s="54"/>
      <c r="P447" s="54"/>
      <c r="Q447" s="54"/>
      <c r="R447" s="54"/>
      <c r="S447" s="54"/>
      <c r="T447" s="54"/>
      <c r="U447" s="54"/>
      <c r="V447" s="54"/>
      <c r="W447" s="54"/>
      <c r="X447" s="54"/>
    </row>
    <row r="448" spans="1:24" customFormat="1" ht="15" customHeight="1" x14ac:dyDescent="0.2">
      <c r="A448" s="112"/>
      <c r="B448" s="125"/>
      <c r="C448" s="113"/>
      <c r="D448" s="57"/>
      <c r="E448" s="57"/>
      <c r="F448" s="57"/>
      <c r="G448" s="54"/>
      <c r="H448" s="54"/>
      <c r="I448" s="54"/>
      <c r="J448" s="54"/>
      <c r="K448" s="54"/>
      <c r="L448" s="54"/>
      <c r="M448" s="54"/>
      <c r="N448" s="54"/>
      <c r="O448" s="54"/>
      <c r="P448" s="54"/>
      <c r="Q448" s="54"/>
      <c r="R448" s="54"/>
      <c r="S448" s="54"/>
      <c r="T448" s="54"/>
      <c r="U448" s="54"/>
      <c r="V448" s="54"/>
      <c r="W448" s="54"/>
      <c r="X448" s="54"/>
    </row>
    <row r="449" spans="1:24" customFormat="1" ht="15" customHeight="1" x14ac:dyDescent="0.2">
      <c r="A449" s="112"/>
      <c r="B449" s="125"/>
      <c r="C449" s="113"/>
      <c r="D449" s="57"/>
      <c r="E449" s="57"/>
      <c r="F449" s="57"/>
      <c r="G449" s="54"/>
      <c r="H449" s="54"/>
      <c r="I449" s="54"/>
      <c r="J449" s="54"/>
      <c r="K449" s="54"/>
      <c r="L449" s="54"/>
      <c r="M449" s="54"/>
      <c r="N449" s="54"/>
      <c r="O449" s="54"/>
      <c r="P449" s="54"/>
      <c r="Q449" s="54"/>
      <c r="R449" s="54"/>
      <c r="S449" s="54"/>
      <c r="T449" s="54"/>
      <c r="U449" s="54"/>
      <c r="V449" s="54"/>
      <c r="W449" s="54"/>
      <c r="X449" s="54"/>
    </row>
    <row r="450" spans="1:24" customFormat="1" ht="15" customHeight="1" x14ac:dyDescent="0.2">
      <c r="A450" s="112"/>
      <c r="B450" s="125"/>
      <c r="C450" s="113"/>
      <c r="D450" s="57"/>
      <c r="E450" s="57"/>
      <c r="F450" s="57"/>
      <c r="G450" s="54"/>
      <c r="H450" s="54"/>
      <c r="I450" s="54"/>
      <c r="J450" s="54"/>
      <c r="K450" s="54"/>
      <c r="L450" s="54"/>
      <c r="M450" s="54"/>
      <c r="N450" s="54"/>
      <c r="O450" s="54"/>
      <c r="P450" s="54"/>
      <c r="Q450" s="54"/>
      <c r="R450" s="54"/>
      <c r="S450" s="54"/>
      <c r="T450" s="54"/>
      <c r="U450" s="54"/>
      <c r="V450" s="54"/>
      <c r="W450" s="54"/>
      <c r="X450" s="54"/>
    </row>
    <row r="451" spans="1:24" customFormat="1" ht="15" customHeight="1" x14ac:dyDescent="0.2">
      <c r="A451" s="112"/>
      <c r="B451" s="125"/>
      <c r="C451" s="113"/>
      <c r="D451" s="57"/>
      <c r="E451" s="57"/>
      <c r="F451" s="57"/>
      <c r="G451" s="54"/>
      <c r="H451" s="54"/>
      <c r="I451" s="54"/>
      <c r="J451" s="54"/>
      <c r="K451" s="54"/>
      <c r="L451" s="54"/>
      <c r="M451" s="54"/>
      <c r="N451" s="54"/>
      <c r="O451" s="54"/>
      <c r="P451" s="54"/>
      <c r="Q451" s="54"/>
      <c r="R451" s="54"/>
      <c r="S451" s="54"/>
      <c r="T451" s="54"/>
      <c r="U451" s="54"/>
      <c r="V451" s="54"/>
      <c r="W451" s="54"/>
      <c r="X451" s="54"/>
    </row>
    <row r="452" spans="1:24" customFormat="1" ht="15" customHeight="1" x14ac:dyDescent="0.2">
      <c r="A452" s="112"/>
      <c r="B452" s="125"/>
      <c r="C452" s="113"/>
      <c r="D452" s="57"/>
      <c r="E452" s="57"/>
      <c r="F452" s="57"/>
      <c r="G452" s="54"/>
      <c r="H452" s="54"/>
      <c r="I452" s="54"/>
      <c r="J452" s="54"/>
      <c r="K452" s="54"/>
      <c r="L452" s="54"/>
      <c r="M452" s="54"/>
      <c r="N452" s="54"/>
      <c r="O452" s="54"/>
      <c r="P452" s="54"/>
      <c r="Q452" s="54"/>
      <c r="R452" s="54"/>
      <c r="S452" s="54"/>
      <c r="T452" s="54"/>
      <c r="U452" s="54"/>
      <c r="V452" s="54"/>
      <c r="W452" s="54"/>
      <c r="X452" s="54"/>
    </row>
    <row r="453" spans="1:24" customFormat="1" ht="15" customHeight="1" x14ac:dyDescent="0.2">
      <c r="A453" s="112"/>
      <c r="B453" s="125"/>
      <c r="C453" s="113"/>
      <c r="D453" s="57"/>
      <c r="E453" s="57"/>
      <c r="F453" s="57"/>
      <c r="G453" s="54"/>
      <c r="H453" s="54"/>
      <c r="I453" s="54"/>
      <c r="J453" s="54"/>
      <c r="K453" s="54"/>
      <c r="L453" s="54"/>
      <c r="M453" s="54"/>
      <c r="N453" s="54"/>
      <c r="O453" s="54"/>
      <c r="P453" s="54"/>
      <c r="Q453" s="54"/>
      <c r="R453" s="54"/>
      <c r="S453" s="54"/>
      <c r="T453" s="54"/>
      <c r="U453" s="54"/>
      <c r="V453" s="54"/>
      <c r="W453" s="54"/>
      <c r="X453" s="54"/>
    </row>
    <row r="454" spans="1:24" customFormat="1" ht="15" customHeight="1" x14ac:dyDescent="0.2">
      <c r="A454" s="112"/>
      <c r="B454" s="125"/>
      <c r="C454" s="113"/>
      <c r="D454" s="57"/>
      <c r="E454" s="57"/>
      <c r="F454" s="57"/>
      <c r="G454" s="54"/>
      <c r="H454" s="54"/>
      <c r="I454" s="54"/>
      <c r="J454" s="54"/>
      <c r="K454" s="54"/>
      <c r="L454" s="54"/>
      <c r="M454" s="54"/>
      <c r="N454" s="54"/>
      <c r="O454" s="54"/>
      <c r="P454" s="54"/>
      <c r="Q454" s="54"/>
      <c r="R454" s="54"/>
      <c r="S454" s="54"/>
      <c r="T454" s="54"/>
      <c r="U454" s="54"/>
      <c r="V454" s="54"/>
      <c r="W454" s="54"/>
      <c r="X454" s="54"/>
    </row>
    <row r="455" spans="1:24" customFormat="1" ht="15" customHeight="1" x14ac:dyDescent="0.2">
      <c r="A455" s="112"/>
      <c r="B455" s="125"/>
      <c r="C455" s="113"/>
      <c r="D455" s="57"/>
      <c r="E455" s="57"/>
      <c r="F455" s="57"/>
      <c r="G455" s="54"/>
      <c r="H455" s="54"/>
      <c r="I455" s="54"/>
      <c r="J455" s="54"/>
      <c r="K455" s="54"/>
      <c r="L455" s="54"/>
      <c r="M455" s="54"/>
      <c r="N455" s="54"/>
      <c r="O455" s="54"/>
      <c r="P455" s="54"/>
      <c r="Q455" s="54"/>
      <c r="R455" s="54"/>
      <c r="S455" s="54"/>
      <c r="T455" s="54"/>
      <c r="U455" s="54"/>
      <c r="V455" s="54"/>
      <c r="W455" s="54"/>
      <c r="X455" s="54"/>
    </row>
    <row r="456" spans="1:24" customFormat="1" ht="15" customHeight="1" x14ac:dyDescent="0.2">
      <c r="A456" s="112"/>
      <c r="B456" s="125"/>
      <c r="C456" s="113"/>
      <c r="D456" s="57"/>
      <c r="E456" s="57"/>
      <c r="F456" s="57"/>
      <c r="G456" s="54"/>
      <c r="H456" s="54"/>
      <c r="I456" s="54"/>
      <c r="J456" s="54"/>
      <c r="K456" s="54"/>
      <c r="L456" s="54"/>
      <c r="M456" s="54"/>
      <c r="N456" s="54"/>
      <c r="O456" s="54"/>
      <c r="P456" s="54"/>
      <c r="Q456" s="54"/>
      <c r="R456" s="54"/>
      <c r="S456" s="54"/>
      <c r="T456" s="54"/>
      <c r="U456" s="54"/>
      <c r="V456" s="54"/>
      <c r="W456" s="54"/>
      <c r="X456" s="54"/>
    </row>
    <row r="457" spans="1:24" customFormat="1" ht="15" customHeight="1" x14ac:dyDescent="0.2">
      <c r="A457" s="112"/>
      <c r="B457" s="125"/>
      <c r="C457" s="113"/>
      <c r="D457" s="57"/>
      <c r="E457" s="57"/>
      <c r="F457" s="57"/>
      <c r="G457" s="54"/>
      <c r="H457" s="54"/>
      <c r="I457" s="54"/>
      <c r="J457" s="54"/>
      <c r="K457" s="54"/>
      <c r="L457" s="54"/>
      <c r="M457" s="54"/>
      <c r="N457" s="54"/>
      <c r="O457" s="54"/>
      <c r="P457" s="54"/>
      <c r="Q457" s="54"/>
      <c r="R457" s="54"/>
      <c r="S457" s="54"/>
      <c r="T457" s="54"/>
      <c r="U457" s="54"/>
      <c r="V457" s="54"/>
      <c r="W457" s="54"/>
      <c r="X457" s="54"/>
    </row>
    <row r="458" spans="1:24" customFormat="1" ht="15" customHeight="1" x14ac:dyDescent="0.2">
      <c r="A458" s="112"/>
      <c r="B458" s="125"/>
      <c r="C458" s="113"/>
      <c r="D458" s="57"/>
      <c r="E458" s="57"/>
      <c r="F458" s="57"/>
      <c r="G458" s="54"/>
      <c r="H458" s="54"/>
      <c r="I458" s="54"/>
      <c r="J458" s="54"/>
      <c r="K458" s="54"/>
      <c r="L458" s="54"/>
      <c r="M458" s="54"/>
      <c r="N458" s="54"/>
      <c r="O458" s="54"/>
      <c r="P458" s="54"/>
      <c r="Q458" s="54"/>
      <c r="R458" s="54"/>
      <c r="S458" s="54"/>
      <c r="T458" s="54"/>
      <c r="U458" s="54"/>
      <c r="V458" s="54"/>
      <c r="W458" s="54"/>
      <c r="X458" s="54"/>
    </row>
    <row r="459" spans="1:24" customFormat="1" ht="15" customHeight="1" x14ac:dyDescent="0.2">
      <c r="A459" s="112"/>
      <c r="B459" s="125"/>
      <c r="C459" s="113"/>
      <c r="D459" s="57"/>
      <c r="E459" s="57"/>
      <c r="F459" s="57"/>
      <c r="G459" s="54"/>
      <c r="H459" s="54"/>
      <c r="I459" s="54"/>
      <c r="J459" s="54"/>
      <c r="K459" s="54"/>
      <c r="L459" s="54"/>
      <c r="M459" s="54"/>
      <c r="N459" s="54"/>
      <c r="O459" s="54"/>
      <c r="P459" s="54"/>
      <c r="Q459" s="54"/>
      <c r="R459" s="54"/>
      <c r="S459" s="54"/>
      <c r="T459" s="54"/>
      <c r="U459" s="54"/>
      <c r="V459" s="54"/>
      <c r="W459" s="54"/>
      <c r="X459" s="54"/>
    </row>
    <row r="460" spans="1:24" customFormat="1" ht="15" customHeight="1" x14ac:dyDescent="0.2">
      <c r="A460" s="112"/>
      <c r="B460" s="125"/>
      <c r="C460" s="113"/>
      <c r="D460" s="57"/>
      <c r="E460" s="57"/>
      <c r="F460" s="57"/>
      <c r="G460" s="54"/>
      <c r="H460" s="54"/>
      <c r="I460" s="54"/>
      <c r="J460" s="54"/>
      <c r="K460" s="54"/>
      <c r="L460" s="54"/>
      <c r="M460" s="54"/>
      <c r="N460" s="54"/>
      <c r="O460" s="54"/>
      <c r="P460" s="54"/>
      <c r="Q460" s="54"/>
      <c r="R460" s="54"/>
      <c r="S460" s="54"/>
      <c r="T460" s="54"/>
      <c r="U460" s="54"/>
      <c r="V460" s="54"/>
      <c r="W460" s="54"/>
      <c r="X460" s="54"/>
    </row>
    <row r="461" spans="1:24" customFormat="1" ht="15" customHeight="1" x14ac:dyDescent="0.2">
      <c r="A461" s="112"/>
      <c r="B461" s="125"/>
      <c r="C461" s="113"/>
      <c r="D461" s="57"/>
      <c r="E461" s="57"/>
      <c r="F461" s="57"/>
      <c r="G461" s="54"/>
      <c r="H461" s="54"/>
      <c r="I461" s="54"/>
      <c r="J461" s="54"/>
      <c r="K461" s="54"/>
      <c r="L461" s="54"/>
      <c r="M461" s="54"/>
      <c r="N461" s="54"/>
      <c r="O461" s="54"/>
      <c r="P461" s="54"/>
      <c r="Q461" s="54"/>
      <c r="R461" s="54"/>
      <c r="S461" s="54"/>
      <c r="T461" s="54"/>
      <c r="U461" s="54"/>
      <c r="V461" s="54"/>
      <c r="W461" s="54"/>
      <c r="X461" s="54"/>
    </row>
    <row r="462" spans="1:24" customFormat="1" ht="15" customHeight="1" x14ac:dyDescent="0.2">
      <c r="A462" s="112"/>
      <c r="B462" s="125"/>
      <c r="C462" s="113"/>
      <c r="D462" s="57"/>
      <c r="E462" s="57"/>
      <c r="F462" s="57"/>
      <c r="G462" s="54"/>
      <c r="H462" s="54"/>
      <c r="I462" s="54"/>
      <c r="J462" s="54"/>
      <c r="K462" s="54"/>
      <c r="L462" s="54"/>
      <c r="M462" s="54"/>
      <c r="N462" s="54"/>
      <c r="O462" s="54"/>
      <c r="P462" s="54"/>
      <c r="Q462" s="54"/>
      <c r="R462" s="54"/>
      <c r="S462" s="54"/>
      <c r="T462" s="54"/>
      <c r="U462" s="54"/>
      <c r="V462" s="54"/>
      <c r="W462" s="54"/>
      <c r="X462" s="54"/>
    </row>
    <row r="463" spans="1:24" customFormat="1" ht="15" customHeight="1" x14ac:dyDescent="0.2">
      <c r="A463" s="112"/>
      <c r="B463" s="125"/>
      <c r="C463" s="113"/>
      <c r="D463" s="57"/>
      <c r="E463" s="57"/>
      <c r="F463" s="57"/>
      <c r="G463" s="54"/>
      <c r="H463" s="54"/>
      <c r="I463" s="54"/>
      <c r="J463" s="54"/>
      <c r="K463" s="54"/>
      <c r="L463" s="54"/>
      <c r="M463" s="54"/>
      <c r="N463" s="54"/>
      <c r="O463" s="54"/>
      <c r="P463" s="54"/>
      <c r="Q463" s="54"/>
      <c r="R463" s="54"/>
      <c r="S463" s="54"/>
      <c r="T463" s="54"/>
      <c r="U463" s="54"/>
      <c r="V463" s="54"/>
      <c r="W463" s="54"/>
      <c r="X463" s="54"/>
    </row>
    <row r="464" spans="1:24" customFormat="1" ht="15" customHeight="1" x14ac:dyDescent="0.2">
      <c r="A464" s="112"/>
      <c r="B464" s="125"/>
      <c r="C464" s="113"/>
      <c r="D464" s="57"/>
      <c r="E464" s="57"/>
      <c r="F464" s="57"/>
      <c r="G464" s="54"/>
      <c r="H464" s="54"/>
      <c r="I464" s="54"/>
      <c r="J464" s="54"/>
      <c r="K464" s="54"/>
      <c r="L464" s="54"/>
      <c r="M464" s="54"/>
      <c r="N464" s="54"/>
      <c r="O464" s="54"/>
      <c r="P464" s="54"/>
      <c r="Q464" s="54"/>
      <c r="R464" s="54"/>
      <c r="S464" s="54"/>
      <c r="T464" s="54"/>
      <c r="U464" s="54"/>
      <c r="V464" s="54"/>
      <c r="W464" s="54"/>
      <c r="X464" s="54"/>
    </row>
    <row r="465" spans="1:24" customFormat="1" ht="15" customHeight="1" x14ac:dyDescent="0.2">
      <c r="A465" s="112"/>
      <c r="B465" s="125"/>
      <c r="C465" s="113"/>
      <c r="D465" s="57"/>
      <c r="E465" s="57"/>
      <c r="F465" s="57"/>
      <c r="G465" s="54"/>
      <c r="H465" s="54"/>
      <c r="I465" s="54"/>
      <c r="J465" s="54"/>
      <c r="K465" s="54"/>
      <c r="L465" s="54"/>
      <c r="M465" s="54"/>
      <c r="N465" s="54"/>
      <c r="O465" s="54"/>
      <c r="P465" s="54"/>
      <c r="Q465" s="54"/>
      <c r="R465" s="54"/>
      <c r="S465" s="54"/>
      <c r="T465" s="54"/>
      <c r="U465" s="54"/>
      <c r="V465" s="54"/>
      <c r="W465" s="54"/>
      <c r="X465" s="54"/>
    </row>
    <row r="466" spans="1:24" customFormat="1" ht="15" customHeight="1" x14ac:dyDescent="0.2">
      <c r="A466" s="112"/>
      <c r="B466" s="125"/>
      <c r="C466" s="113"/>
      <c r="D466" s="57"/>
      <c r="E466" s="57"/>
      <c r="F466" s="57"/>
      <c r="G466" s="54"/>
      <c r="H466" s="54"/>
      <c r="I466" s="54"/>
      <c r="J466" s="54"/>
      <c r="K466" s="54"/>
      <c r="L466" s="54"/>
      <c r="M466" s="54"/>
      <c r="N466" s="54"/>
      <c r="O466" s="54"/>
      <c r="P466" s="54"/>
      <c r="Q466" s="54"/>
      <c r="R466" s="54"/>
      <c r="S466" s="54"/>
      <c r="T466" s="54"/>
      <c r="U466" s="54"/>
      <c r="V466" s="54"/>
      <c r="W466" s="54"/>
      <c r="X466" s="54"/>
    </row>
    <row r="467" spans="1:24" customFormat="1" ht="15" customHeight="1" x14ac:dyDescent="0.2">
      <c r="A467" s="112"/>
      <c r="B467" s="125"/>
      <c r="C467" s="113"/>
      <c r="D467" s="57"/>
      <c r="E467" s="57"/>
      <c r="F467" s="57"/>
      <c r="G467" s="54"/>
      <c r="H467" s="54"/>
      <c r="I467" s="54"/>
      <c r="J467" s="54"/>
      <c r="K467" s="54"/>
      <c r="L467" s="54"/>
      <c r="M467" s="54"/>
      <c r="N467" s="54"/>
      <c r="O467" s="54"/>
      <c r="P467" s="54"/>
      <c r="Q467" s="54"/>
      <c r="R467" s="54"/>
      <c r="S467" s="54"/>
      <c r="T467" s="54"/>
      <c r="U467" s="54"/>
      <c r="V467" s="54"/>
      <c r="W467" s="54"/>
      <c r="X467" s="54"/>
    </row>
    <row r="468" spans="1:24" customFormat="1" ht="15" customHeight="1" x14ac:dyDescent="0.2">
      <c r="A468" s="112"/>
      <c r="B468" s="125"/>
      <c r="C468" s="113"/>
      <c r="D468" s="57"/>
      <c r="E468" s="57"/>
      <c r="F468" s="57"/>
      <c r="G468" s="54"/>
      <c r="H468" s="54"/>
      <c r="I468" s="54"/>
      <c r="J468" s="54"/>
      <c r="K468" s="54"/>
      <c r="L468" s="54"/>
      <c r="M468" s="54"/>
      <c r="N468" s="54"/>
      <c r="O468" s="54"/>
      <c r="P468" s="54"/>
      <c r="Q468" s="54"/>
      <c r="R468" s="54"/>
      <c r="S468" s="54"/>
      <c r="T468" s="54"/>
      <c r="U468" s="54"/>
      <c r="V468" s="54"/>
      <c r="W468" s="54"/>
      <c r="X468" s="54"/>
    </row>
    <row r="469" spans="1:24" customFormat="1" ht="15" customHeight="1" x14ac:dyDescent="0.2">
      <c r="A469" s="112"/>
      <c r="B469" s="125"/>
      <c r="C469" s="113"/>
      <c r="D469" s="57"/>
      <c r="E469" s="57"/>
      <c r="F469" s="57"/>
      <c r="G469" s="54"/>
      <c r="H469" s="54"/>
      <c r="I469" s="54"/>
      <c r="J469" s="54"/>
      <c r="K469" s="54"/>
      <c r="L469" s="54"/>
      <c r="M469" s="54"/>
      <c r="N469" s="54"/>
      <c r="O469" s="54"/>
      <c r="P469" s="54"/>
      <c r="Q469" s="54"/>
      <c r="R469" s="54"/>
      <c r="S469" s="54"/>
      <c r="T469" s="54"/>
      <c r="U469" s="54"/>
      <c r="V469" s="54"/>
      <c r="W469" s="54"/>
      <c r="X469" s="54"/>
    </row>
    <row r="470" spans="1:24" customFormat="1" ht="15" customHeight="1" x14ac:dyDescent="0.2">
      <c r="A470" s="112"/>
      <c r="B470" s="125"/>
      <c r="C470" s="113"/>
      <c r="D470" s="57"/>
      <c r="E470" s="57"/>
      <c r="F470" s="57"/>
      <c r="G470" s="54"/>
      <c r="H470" s="54"/>
      <c r="I470" s="54"/>
      <c r="J470" s="54"/>
      <c r="K470" s="54"/>
      <c r="L470" s="54"/>
      <c r="M470" s="54"/>
      <c r="N470" s="54"/>
      <c r="O470" s="54"/>
      <c r="P470" s="54"/>
      <c r="Q470" s="54"/>
      <c r="R470" s="54"/>
      <c r="S470" s="54"/>
      <c r="T470" s="54"/>
      <c r="U470" s="54"/>
      <c r="V470" s="54"/>
      <c r="W470" s="54"/>
      <c r="X470" s="54"/>
    </row>
    <row r="471" spans="1:24" customFormat="1" ht="15" customHeight="1" x14ac:dyDescent="0.2">
      <c r="A471" s="112"/>
      <c r="B471" s="125"/>
      <c r="C471" s="113"/>
      <c r="D471" s="57"/>
      <c r="E471" s="57"/>
      <c r="F471" s="57"/>
      <c r="G471" s="54"/>
      <c r="H471" s="54"/>
      <c r="I471" s="54"/>
      <c r="J471" s="54"/>
      <c r="K471" s="54"/>
      <c r="L471" s="54"/>
      <c r="M471" s="54"/>
      <c r="N471" s="54"/>
      <c r="O471" s="54"/>
      <c r="P471" s="54"/>
      <c r="Q471" s="54"/>
      <c r="R471" s="54"/>
      <c r="S471" s="54"/>
      <c r="T471" s="54"/>
      <c r="U471" s="54"/>
      <c r="V471" s="54"/>
      <c r="W471" s="54"/>
      <c r="X471" s="54"/>
    </row>
    <row r="472" spans="1:24" customFormat="1" ht="15" customHeight="1" x14ac:dyDescent="0.2">
      <c r="A472" s="112"/>
      <c r="B472" s="125"/>
      <c r="C472" s="113"/>
      <c r="D472" s="57"/>
      <c r="E472" s="57"/>
      <c r="F472" s="57"/>
      <c r="G472" s="54"/>
      <c r="H472" s="54"/>
      <c r="I472" s="54"/>
      <c r="J472" s="54"/>
      <c r="K472" s="54"/>
      <c r="L472" s="54"/>
      <c r="M472" s="54"/>
      <c r="N472" s="54"/>
      <c r="O472" s="54"/>
      <c r="P472" s="54"/>
      <c r="Q472" s="54"/>
      <c r="R472" s="54"/>
      <c r="S472" s="54"/>
      <c r="T472" s="54"/>
      <c r="U472" s="54"/>
      <c r="V472" s="54"/>
      <c r="W472" s="54"/>
      <c r="X472" s="54"/>
    </row>
    <row r="473" spans="1:24" customFormat="1" ht="15" customHeight="1" x14ac:dyDescent="0.2">
      <c r="A473" s="112"/>
      <c r="B473" s="125"/>
      <c r="C473" s="113"/>
      <c r="D473" s="57"/>
      <c r="E473" s="57"/>
      <c r="F473" s="57"/>
      <c r="G473" s="54"/>
      <c r="H473" s="54"/>
      <c r="I473" s="54"/>
      <c r="J473" s="54"/>
      <c r="K473" s="54"/>
      <c r="L473" s="54"/>
      <c r="M473" s="54"/>
      <c r="N473" s="54"/>
      <c r="O473" s="54"/>
      <c r="P473" s="54"/>
      <c r="Q473" s="54"/>
      <c r="R473" s="54"/>
      <c r="S473" s="54"/>
      <c r="T473" s="54"/>
      <c r="U473" s="54"/>
      <c r="V473" s="54"/>
      <c r="W473" s="54"/>
      <c r="X473" s="54"/>
    </row>
    <row r="474" spans="1:24" customFormat="1" ht="15" customHeight="1" x14ac:dyDescent="0.2">
      <c r="A474" s="112"/>
      <c r="B474" s="125"/>
      <c r="C474" s="113"/>
      <c r="D474" s="57"/>
      <c r="E474" s="57"/>
      <c r="F474" s="57"/>
      <c r="G474" s="54"/>
      <c r="H474" s="54"/>
      <c r="I474" s="54"/>
      <c r="J474" s="54"/>
      <c r="K474" s="54"/>
      <c r="L474" s="54"/>
      <c r="M474" s="54"/>
      <c r="N474" s="54"/>
      <c r="O474" s="54"/>
      <c r="P474" s="54"/>
      <c r="Q474" s="54"/>
      <c r="R474" s="54"/>
      <c r="S474" s="54"/>
      <c r="T474" s="54"/>
      <c r="U474" s="54"/>
      <c r="V474" s="54"/>
      <c r="W474" s="54"/>
      <c r="X474" s="54"/>
    </row>
    <row r="475" spans="1:24" customFormat="1" ht="15" customHeight="1" x14ac:dyDescent="0.2">
      <c r="A475" s="112"/>
      <c r="B475" s="125"/>
      <c r="C475" s="113"/>
      <c r="D475" s="57"/>
      <c r="E475" s="57"/>
      <c r="F475" s="57"/>
      <c r="G475" s="54"/>
      <c r="H475" s="54"/>
      <c r="I475" s="54"/>
      <c r="J475" s="54"/>
      <c r="K475" s="54"/>
      <c r="L475" s="54"/>
      <c r="M475" s="54"/>
      <c r="N475" s="54"/>
      <c r="O475" s="54"/>
      <c r="P475" s="54"/>
      <c r="Q475" s="54"/>
      <c r="R475" s="54"/>
      <c r="S475" s="54"/>
      <c r="T475" s="54"/>
      <c r="U475" s="54"/>
      <c r="V475" s="54"/>
      <c r="W475" s="54"/>
      <c r="X475" s="54"/>
    </row>
    <row r="476" spans="1:24" customFormat="1" ht="15" customHeight="1" x14ac:dyDescent="0.2">
      <c r="A476" s="112"/>
      <c r="B476" s="125"/>
      <c r="C476" s="113"/>
      <c r="D476" s="57"/>
      <c r="E476" s="57"/>
      <c r="F476" s="57"/>
      <c r="G476" s="54"/>
      <c r="H476" s="54"/>
      <c r="I476" s="54"/>
      <c r="J476" s="54"/>
      <c r="K476" s="54"/>
      <c r="L476" s="54"/>
      <c r="M476" s="54"/>
      <c r="N476" s="54"/>
      <c r="O476" s="54"/>
      <c r="P476" s="54"/>
      <c r="Q476" s="54"/>
      <c r="R476" s="54"/>
      <c r="S476" s="54"/>
      <c r="T476" s="54"/>
      <c r="U476" s="54"/>
      <c r="V476" s="54"/>
      <c r="W476" s="54"/>
      <c r="X476" s="54"/>
    </row>
    <row r="477" spans="1:24" customFormat="1" ht="15" customHeight="1" x14ac:dyDescent="0.2">
      <c r="A477" s="112"/>
      <c r="B477" s="125"/>
      <c r="C477" s="113"/>
      <c r="D477" s="57"/>
      <c r="E477" s="57"/>
      <c r="F477" s="57"/>
      <c r="G477" s="54"/>
      <c r="H477" s="54"/>
      <c r="I477" s="54"/>
      <c r="J477" s="54"/>
      <c r="K477" s="54"/>
      <c r="L477" s="54"/>
      <c r="M477" s="54"/>
      <c r="N477" s="54"/>
      <c r="O477" s="54"/>
      <c r="P477" s="54"/>
      <c r="Q477" s="54"/>
      <c r="R477" s="54"/>
      <c r="S477" s="54"/>
      <c r="T477" s="54"/>
      <c r="U477" s="54"/>
      <c r="V477" s="54"/>
      <c r="W477" s="54"/>
      <c r="X477" s="54"/>
    </row>
    <row r="478" spans="1:24" customFormat="1" ht="15" customHeight="1" x14ac:dyDescent="0.2">
      <c r="A478" s="112"/>
      <c r="B478" s="125"/>
      <c r="C478" s="113"/>
      <c r="D478" s="57"/>
      <c r="E478" s="57"/>
      <c r="F478" s="57"/>
      <c r="G478" s="54"/>
      <c r="H478" s="54"/>
      <c r="I478" s="54"/>
      <c r="J478" s="54"/>
      <c r="K478" s="54"/>
      <c r="L478" s="54"/>
      <c r="M478" s="54"/>
      <c r="N478" s="54"/>
      <c r="O478" s="54"/>
      <c r="P478" s="54"/>
      <c r="Q478" s="54"/>
      <c r="R478" s="54"/>
      <c r="S478" s="54"/>
      <c r="T478" s="54"/>
      <c r="U478" s="54"/>
      <c r="V478" s="54"/>
      <c r="W478" s="54"/>
      <c r="X478" s="54"/>
    </row>
    <row r="479" spans="1:24" customFormat="1" ht="15" customHeight="1" x14ac:dyDescent="0.2">
      <c r="A479" s="112"/>
      <c r="B479" s="125"/>
      <c r="C479" s="113"/>
      <c r="D479" s="57"/>
      <c r="E479" s="57"/>
      <c r="F479" s="57"/>
      <c r="G479" s="54"/>
      <c r="H479" s="54"/>
      <c r="I479" s="54"/>
      <c r="J479" s="54"/>
      <c r="K479" s="54"/>
      <c r="L479" s="54"/>
      <c r="M479" s="54"/>
      <c r="N479" s="54"/>
      <c r="O479" s="54"/>
      <c r="P479" s="54"/>
      <c r="Q479" s="54"/>
      <c r="R479" s="54"/>
      <c r="S479" s="54"/>
      <c r="T479" s="54"/>
      <c r="U479" s="54"/>
      <c r="V479" s="54"/>
      <c r="W479" s="54"/>
      <c r="X479" s="54"/>
    </row>
    <row r="480" spans="1:24" customFormat="1" ht="15" customHeight="1" x14ac:dyDescent="0.2">
      <c r="A480" s="112"/>
      <c r="B480" s="125"/>
      <c r="C480" s="113"/>
      <c r="D480" s="57"/>
      <c r="E480" s="57"/>
      <c r="F480" s="57"/>
      <c r="G480" s="54"/>
      <c r="H480" s="54"/>
      <c r="I480" s="54"/>
      <c r="J480" s="54"/>
      <c r="K480" s="54"/>
      <c r="L480" s="54"/>
      <c r="M480" s="54"/>
      <c r="N480" s="54"/>
      <c r="O480" s="54"/>
      <c r="P480" s="54"/>
      <c r="Q480" s="54"/>
      <c r="R480" s="54"/>
      <c r="S480" s="54"/>
      <c r="T480" s="54"/>
      <c r="U480" s="54"/>
      <c r="V480" s="54"/>
      <c r="W480" s="54"/>
      <c r="X480" s="54"/>
    </row>
    <row r="481" spans="1:24" customFormat="1" ht="15" customHeight="1" x14ac:dyDescent="0.2">
      <c r="A481" s="112"/>
      <c r="B481" s="125"/>
      <c r="C481" s="113"/>
      <c r="D481" s="57"/>
      <c r="E481" s="57"/>
      <c r="F481" s="57"/>
      <c r="G481" s="54"/>
      <c r="H481" s="54"/>
      <c r="I481" s="54"/>
      <c r="J481" s="54"/>
      <c r="K481" s="54"/>
      <c r="L481" s="54"/>
      <c r="M481" s="54"/>
      <c r="N481" s="54"/>
      <c r="O481" s="54"/>
      <c r="P481" s="54"/>
      <c r="Q481" s="54"/>
      <c r="R481" s="54"/>
      <c r="S481" s="54"/>
      <c r="T481" s="54"/>
      <c r="U481" s="54"/>
      <c r="V481" s="54"/>
      <c r="W481" s="54"/>
      <c r="X481" s="54"/>
    </row>
    <row r="482" spans="1:24" customFormat="1" ht="15" customHeight="1" x14ac:dyDescent="0.2">
      <c r="A482" s="112"/>
      <c r="B482" s="125"/>
      <c r="C482" s="113"/>
      <c r="D482" s="57"/>
      <c r="E482" s="57"/>
      <c r="F482" s="57"/>
      <c r="G482" s="54"/>
      <c r="H482" s="54"/>
      <c r="I482" s="54"/>
      <c r="J482" s="54"/>
      <c r="K482" s="54"/>
      <c r="L482" s="54"/>
      <c r="M482" s="54"/>
      <c r="N482" s="54"/>
      <c r="O482" s="54"/>
      <c r="P482" s="54"/>
      <c r="Q482" s="54"/>
      <c r="R482" s="54"/>
      <c r="S482" s="54"/>
      <c r="T482" s="54"/>
      <c r="U482" s="54"/>
      <c r="V482" s="54"/>
      <c r="W482" s="54"/>
      <c r="X482" s="54"/>
    </row>
    <row r="483" spans="1:24" customFormat="1" ht="15" customHeight="1" x14ac:dyDescent="0.2">
      <c r="A483" s="112"/>
      <c r="B483" s="125"/>
      <c r="C483" s="113"/>
      <c r="D483" s="57"/>
      <c r="E483" s="57"/>
      <c r="F483" s="57"/>
      <c r="G483" s="54"/>
      <c r="H483" s="54"/>
      <c r="I483" s="54"/>
      <c r="J483" s="54"/>
      <c r="K483" s="54"/>
      <c r="L483" s="54"/>
      <c r="M483" s="54"/>
      <c r="N483" s="54"/>
      <c r="O483" s="54"/>
      <c r="P483" s="54"/>
      <c r="Q483" s="54"/>
      <c r="R483" s="54"/>
      <c r="S483" s="54"/>
      <c r="T483" s="54"/>
      <c r="U483" s="54"/>
      <c r="V483" s="54"/>
      <c r="W483" s="54"/>
      <c r="X483" s="54"/>
    </row>
    <row r="484" spans="1:24" customFormat="1" ht="15" customHeight="1" x14ac:dyDescent="0.2">
      <c r="A484" s="112"/>
      <c r="B484" s="125"/>
      <c r="C484" s="113"/>
      <c r="D484" s="57"/>
      <c r="E484" s="57"/>
      <c r="F484" s="57"/>
      <c r="G484" s="54"/>
      <c r="H484" s="54"/>
      <c r="I484" s="54"/>
      <c r="J484" s="54"/>
      <c r="K484" s="54"/>
      <c r="L484" s="54"/>
      <c r="M484" s="54"/>
      <c r="N484" s="54"/>
      <c r="O484" s="54"/>
      <c r="P484" s="54"/>
      <c r="Q484" s="54"/>
      <c r="R484" s="54"/>
      <c r="S484" s="54"/>
      <c r="T484" s="54"/>
      <c r="U484" s="54"/>
      <c r="V484" s="54"/>
      <c r="W484" s="54"/>
      <c r="X484" s="54"/>
    </row>
    <row r="485" spans="1:24" customFormat="1" ht="15" customHeight="1" x14ac:dyDescent="0.2">
      <c r="A485" s="112"/>
      <c r="B485" s="125"/>
      <c r="C485" s="113"/>
      <c r="D485" s="57"/>
      <c r="E485" s="57"/>
      <c r="F485" s="57"/>
      <c r="G485" s="54"/>
      <c r="H485" s="54"/>
      <c r="I485" s="54"/>
      <c r="J485" s="54"/>
      <c r="K485" s="54"/>
      <c r="L485" s="54"/>
      <c r="M485" s="54"/>
      <c r="N485" s="54"/>
      <c r="O485" s="54"/>
      <c r="P485" s="54"/>
      <c r="Q485" s="54"/>
      <c r="R485" s="54"/>
      <c r="S485" s="54"/>
      <c r="T485" s="54"/>
      <c r="U485" s="54"/>
      <c r="V485" s="54"/>
      <c r="W485" s="54"/>
      <c r="X485" s="54"/>
    </row>
    <row r="486" spans="1:24" customFormat="1" ht="15" customHeight="1" x14ac:dyDescent="0.2">
      <c r="A486" s="112"/>
      <c r="B486" s="125"/>
      <c r="C486" s="113"/>
      <c r="D486" s="57"/>
      <c r="E486" s="57"/>
      <c r="F486" s="57"/>
      <c r="G486" s="54"/>
      <c r="H486" s="54"/>
      <c r="I486" s="54"/>
      <c r="J486" s="54"/>
      <c r="K486" s="54"/>
      <c r="L486" s="54"/>
      <c r="M486" s="54"/>
      <c r="N486" s="54"/>
      <c r="O486" s="54"/>
      <c r="P486" s="54"/>
      <c r="Q486" s="54"/>
      <c r="R486" s="54"/>
      <c r="S486" s="54"/>
      <c r="T486" s="54"/>
      <c r="U486" s="54"/>
      <c r="V486" s="54"/>
      <c r="W486" s="54"/>
      <c r="X486" s="54"/>
    </row>
    <row r="487" spans="1:24" customFormat="1" ht="15" customHeight="1" x14ac:dyDescent="0.2">
      <c r="A487" s="112"/>
      <c r="B487" s="125"/>
      <c r="C487" s="113"/>
      <c r="D487" s="57"/>
      <c r="E487" s="57"/>
      <c r="F487" s="57"/>
      <c r="G487" s="54"/>
      <c r="H487" s="54"/>
      <c r="I487" s="54"/>
      <c r="J487" s="54"/>
      <c r="K487" s="54"/>
      <c r="L487" s="54"/>
      <c r="M487" s="54"/>
      <c r="N487" s="54"/>
      <c r="O487" s="54"/>
      <c r="P487" s="54"/>
      <c r="Q487" s="54"/>
      <c r="R487" s="54"/>
      <c r="S487" s="54"/>
      <c r="T487" s="54"/>
      <c r="U487" s="54"/>
      <c r="V487" s="54"/>
      <c r="W487" s="54"/>
      <c r="X487" s="54"/>
    </row>
    <row r="488" spans="1:24" customFormat="1" ht="15" customHeight="1" x14ac:dyDescent="0.2">
      <c r="A488" s="112"/>
      <c r="B488" s="125"/>
      <c r="C488" s="113"/>
      <c r="D488" s="57"/>
      <c r="E488" s="57"/>
      <c r="F488" s="57"/>
      <c r="G488" s="54"/>
      <c r="H488" s="54"/>
      <c r="I488" s="54"/>
      <c r="J488" s="54"/>
      <c r="K488" s="54"/>
      <c r="L488" s="54"/>
      <c r="M488" s="54"/>
      <c r="N488" s="54"/>
      <c r="O488" s="54"/>
      <c r="P488" s="54"/>
      <c r="Q488" s="54"/>
      <c r="R488" s="54"/>
      <c r="S488" s="54"/>
      <c r="T488" s="54"/>
      <c r="U488" s="54"/>
      <c r="V488" s="54"/>
      <c r="W488" s="54"/>
      <c r="X488" s="54"/>
    </row>
    <row r="489" spans="1:24" customFormat="1" ht="15" customHeight="1" x14ac:dyDescent="0.2">
      <c r="A489" s="112"/>
      <c r="B489" s="125"/>
      <c r="C489" s="113"/>
      <c r="D489" s="57"/>
      <c r="E489" s="57"/>
      <c r="F489" s="57"/>
      <c r="G489" s="54"/>
      <c r="H489" s="54"/>
      <c r="I489" s="54"/>
      <c r="J489" s="54"/>
      <c r="K489" s="54"/>
      <c r="L489" s="54"/>
      <c r="M489" s="54"/>
      <c r="N489" s="54"/>
      <c r="O489" s="54"/>
      <c r="P489" s="54"/>
      <c r="Q489" s="54"/>
      <c r="R489" s="54"/>
      <c r="S489" s="54"/>
      <c r="T489" s="54"/>
      <c r="U489" s="54"/>
      <c r="V489" s="54"/>
      <c r="W489" s="54"/>
      <c r="X489" s="54"/>
    </row>
    <row r="490" spans="1:24" customFormat="1" ht="15" customHeight="1" x14ac:dyDescent="0.2">
      <c r="A490" s="112"/>
      <c r="B490" s="125"/>
      <c r="C490" s="113"/>
      <c r="D490" s="57"/>
      <c r="E490" s="57"/>
      <c r="F490" s="57"/>
      <c r="G490" s="54"/>
      <c r="H490" s="54"/>
      <c r="I490" s="54"/>
      <c r="J490" s="54"/>
      <c r="K490" s="54"/>
      <c r="L490" s="54"/>
      <c r="M490" s="54"/>
      <c r="N490" s="54"/>
      <c r="O490" s="54"/>
      <c r="P490" s="54"/>
      <c r="Q490" s="54"/>
      <c r="R490" s="54"/>
      <c r="S490" s="54"/>
      <c r="T490" s="54"/>
      <c r="U490" s="54"/>
      <c r="V490" s="54"/>
      <c r="W490" s="54"/>
      <c r="X490" s="54"/>
    </row>
    <row r="491" spans="1:24" customFormat="1" ht="15" customHeight="1" x14ac:dyDescent="0.2">
      <c r="A491" s="112"/>
      <c r="B491" s="125"/>
      <c r="C491" s="113"/>
      <c r="D491" s="57"/>
      <c r="E491" s="57"/>
      <c r="F491" s="57"/>
      <c r="G491" s="54"/>
      <c r="H491" s="54"/>
      <c r="I491" s="54"/>
      <c r="J491" s="54"/>
      <c r="K491" s="54"/>
      <c r="L491" s="54"/>
      <c r="M491" s="54"/>
      <c r="N491" s="54"/>
      <c r="O491" s="54"/>
      <c r="P491" s="54"/>
      <c r="Q491" s="54"/>
      <c r="R491" s="54"/>
      <c r="S491" s="54"/>
      <c r="T491" s="54"/>
      <c r="U491" s="54"/>
      <c r="V491" s="54"/>
      <c r="W491" s="54"/>
      <c r="X491" s="54"/>
    </row>
    <row r="492" spans="1:24" customFormat="1" ht="15" customHeight="1" x14ac:dyDescent="0.2">
      <c r="A492" s="112"/>
      <c r="B492" s="125"/>
      <c r="C492" s="113"/>
      <c r="D492" s="57"/>
      <c r="E492" s="57"/>
      <c r="F492" s="57"/>
      <c r="G492" s="54"/>
      <c r="H492" s="54"/>
      <c r="I492" s="54"/>
      <c r="J492" s="54"/>
      <c r="K492" s="54"/>
      <c r="L492" s="54"/>
      <c r="M492" s="54"/>
      <c r="N492" s="54"/>
      <c r="O492" s="54"/>
      <c r="P492" s="54"/>
      <c r="Q492" s="54"/>
      <c r="R492" s="54"/>
      <c r="S492" s="54"/>
      <c r="T492" s="54"/>
      <c r="U492" s="54"/>
      <c r="V492" s="54"/>
      <c r="W492" s="54"/>
      <c r="X492" s="54"/>
    </row>
    <row r="493" spans="1:24" customFormat="1" ht="15" customHeight="1" x14ac:dyDescent="0.2">
      <c r="A493" s="112"/>
      <c r="B493" s="125"/>
      <c r="C493" s="113"/>
      <c r="D493" s="57"/>
      <c r="E493" s="57"/>
      <c r="F493" s="57"/>
      <c r="G493" s="54"/>
      <c r="H493" s="54"/>
      <c r="I493" s="54"/>
      <c r="J493" s="54"/>
      <c r="K493" s="54"/>
      <c r="L493" s="54"/>
      <c r="M493" s="54"/>
      <c r="N493" s="54"/>
      <c r="O493" s="54"/>
      <c r="P493" s="54"/>
      <c r="Q493" s="54"/>
      <c r="R493" s="54"/>
      <c r="S493" s="54"/>
      <c r="T493" s="54"/>
      <c r="U493" s="54"/>
      <c r="V493" s="54"/>
      <c r="W493" s="54"/>
      <c r="X493" s="54"/>
    </row>
    <row r="494" spans="1:24" customFormat="1" ht="15" customHeight="1" x14ac:dyDescent="0.2">
      <c r="A494" s="112"/>
      <c r="B494" s="125"/>
      <c r="C494" s="113"/>
      <c r="D494" s="57"/>
      <c r="E494" s="57"/>
      <c r="F494" s="57"/>
      <c r="G494" s="54"/>
      <c r="H494" s="54"/>
      <c r="I494" s="54"/>
      <c r="J494" s="54"/>
      <c r="K494" s="54"/>
      <c r="L494" s="54"/>
      <c r="M494" s="54"/>
      <c r="N494" s="54"/>
      <c r="O494" s="54"/>
      <c r="P494" s="54"/>
      <c r="Q494" s="54"/>
      <c r="R494" s="54"/>
      <c r="S494" s="54"/>
      <c r="T494" s="54"/>
      <c r="U494" s="54"/>
      <c r="V494" s="54"/>
      <c r="W494" s="54"/>
      <c r="X494" s="54"/>
    </row>
    <row r="495" spans="1:24" customFormat="1" ht="15" customHeight="1" x14ac:dyDescent="0.2">
      <c r="A495" s="112"/>
      <c r="B495" s="125"/>
      <c r="C495" s="113"/>
      <c r="D495" s="57"/>
      <c r="E495" s="57"/>
      <c r="F495" s="57"/>
      <c r="G495" s="54"/>
      <c r="H495" s="54"/>
      <c r="I495" s="54"/>
      <c r="J495" s="54"/>
      <c r="K495" s="54"/>
      <c r="L495" s="54"/>
      <c r="M495" s="54"/>
      <c r="N495" s="54"/>
      <c r="O495" s="54"/>
      <c r="P495" s="54"/>
      <c r="Q495" s="54"/>
      <c r="R495" s="54"/>
      <c r="S495" s="54"/>
      <c r="T495" s="54"/>
      <c r="U495" s="54"/>
      <c r="V495" s="54"/>
      <c r="W495" s="54"/>
      <c r="X495" s="54"/>
    </row>
    <row r="496" spans="1:24" customFormat="1" ht="15" customHeight="1" x14ac:dyDescent="0.2">
      <c r="A496" s="112"/>
      <c r="B496" s="125"/>
      <c r="C496" s="113"/>
      <c r="D496" s="57"/>
      <c r="E496" s="57"/>
      <c r="F496" s="57"/>
      <c r="G496" s="54"/>
      <c r="H496" s="54"/>
      <c r="I496" s="54"/>
      <c r="J496" s="54"/>
      <c r="K496" s="54"/>
      <c r="L496" s="54"/>
      <c r="M496" s="54"/>
      <c r="N496" s="54"/>
      <c r="O496" s="54"/>
      <c r="P496" s="54"/>
      <c r="Q496" s="54"/>
      <c r="R496" s="54"/>
      <c r="S496" s="54"/>
      <c r="T496" s="54"/>
      <c r="U496" s="54"/>
      <c r="V496" s="54"/>
      <c r="W496" s="54"/>
      <c r="X496" s="54"/>
    </row>
    <row r="497" spans="1:24" customFormat="1" ht="15" customHeight="1" x14ac:dyDescent="0.2">
      <c r="A497" s="112"/>
      <c r="B497" s="125"/>
      <c r="C497" s="113"/>
      <c r="D497" s="57"/>
      <c r="E497" s="57"/>
      <c r="F497" s="57"/>
      <c r="G497" s="54"/>
      <c r="H497" s="54"/>
      <c r="I497" s="54"/>
      <c r="J497" s="54"/>
      <c r="K497" s="54"/>
      <c r="L497" s="54"/>
      <c r="M497" s="54"/>
      <c r="N497" s="54"/>
      <c r="O497" s="54"/>
      <c r="P497" s="54"/>
      <c r="Q497" s="54"/>
      <c r="R497" s="54"/>
      <c r="S497" s="54"/>
      <c r="T497" s="54"/>
      <c r="U497" s="54"/>
      <c r="V497" s="54"/>
      <c r="W497" s="54"/>
      <c r="X497" s="54"/>
    </row>
    <row r="498" spans="1:24" customFormat="1" ht="15" customHeight="1" x14ac:dyDescent="0.2">
      <c r="A498" s="112"/>
      <c r="B498" s="125"/>
      <c r="C498" s="113"/>
      <c r="D498" s="57"/>
      <c r="E498" s="57"/>
      <c r="F498" s="57"/>
      <c r="G498" s="54"/>
      <c r="H498" s="54"/>
      <c r="I498" s="54"/>
      <c r="J498" s="54"/>
      <c r="K498" s="54"/>
      <c r="L498" s="54"/>
      <c r="M498" s="54"/>
      <c r="N498" s="54"/>
      <c r="O498" s="54"/>
      <c r="P498" s="54"/>
      <c r="Q498" s="54"/>
      <c r="R498" s="54"/>
      <c r="S498" s="54"/>
      <c r="T498" s="54"/>
      <c r="U498" s="54"/>
      <c r="V498" s="54"/>
      <c r="W498" s="54"/>
      <c r="X498" s="54"/>
    </row>
    <row r="499" spans="1:24" customFormat="1" ht="15" customHeight="1" x14ac:dyDescent="0.2">
      <c r="A499" s="112"/>
      <c r="B499" s="125"/>
      <c r="C499" s="113"/>
      <c r="D499" s="57"/>
      <c r="E499" s="57"/>
      <c r="F499" s="57"/>
      <c r="G499" s="54"/>
      <c r="H499" s="54"/>
      <c r="I499" s="54"/>
      <c r="J499" s="54"/>
      <c r="K499" s="54"/>
      <c r="L499" s="54"/>
      <c r="M499" s="54"/>
      <c r="N499" s="54"/>
      <c r="O499" s="54"/>
      <c r="P499" s="54"/>
      <c r="Q499" s="54"/>
      <c r="R499" s="54"/>
      <c r="S499" s="54"/>
      <c r="T499" s="54"/>
      <c r="U499" s="54"/>
      <c r="V499" s="54"/>
      <c r="W499" s="54"/>
      <c r="X499" s="54"/>
    </row>
    <row r="500" spans="1:24" customFormat="1" ht="15" customHeight="1" x14ac:dyDescent="0.2">
      <c r="A500" s="112"/>
      <c r="B500" s="125"/>
      <c r="C500" s="113"/>
      <c r="D500" s="57"/>
      <c r="E500" s="57"/>
      <c r="F500" s="57"/>
      <c r="G500" s="54"/>
      <c r="H500" s="54"/>
      <c r="I500" s="54"/>
      <c r="J500" s="54"/>
      <c r="K500" s="54"/>
      <c r="L500" s="54"/>
      <c r="M500" s="54"/>
      <c r="N500" s="54"/>
      <c r="O500" s="54"/>
      <c r="P500" s="54"/>
      <c r="Q500" s="54"/>
      <c r="R500" s="54"/>
      <c r="S500" s="54"/>
      <c r="T500" s="54"/>
      <c r="U500" s="54"/>
      <c r="V500" s="54"/>
      <c r="W500" s="54"/>
      <c r="X500" s="54"/>
    </row>
    <row r="501" spans="1:24" customFormat="1" ht="15" customHeight="1" x14ac:dyDescent="0.2">
      <c r="A501" s="112"/>
      <c r="B501" s="125"/>
      <c r="C501" s="113"/>
      <c r="D501" s="57"/>
      <c r="E501" s="57"/>
      <c r="F501" s="57"/>
      <c r="G501" s="54"/>
      <c r="H501" s="54"/>
      <c r="I501" s="54"/>
      <c r="J501" s="54"/>
      <c r="K501" s="54"/>
      <c r="L501" s="54"/>
      <c r="M501" s="54"/>
      <c r="N501" s="54"/>
      <c r="O501" s="54"/>
      <c r="P501" s="54"/>
      <c r="Q501" s="54"/>
      <c r="R501" s="54"/>
      <c r="S501" s="54"/>
      <c r="T501" s="54"/>
      <c r="U501" s="54"/>
      <c r="V501" s="54"/>
      <c r="W501" s="54"/>
      <c r="X501" s="54"/>
    </row>
    <row r="502" spans="1:24" customFormat="1" ht="15" customHeight="1" x14ac:dyDescent="0.2">
      <c r="A502" s="112"/>
      <c r="B502" s="125"/>
      <c r="C502" s="113"/>
      <c r="D502" s="57"/>
      <c r="E502" s="57"/>
      <c r="F502" s="57"/>
      <c r="G502" s="54"/>
      <c r="H502" s="54"/>
      <c r="I502" s="54"/>
      <c r="J502" s="54"/>
      <c r="K502" s="54"/>
      <c r="L502" s="54"/>
      <c r="M502" s="54"/>
      <c r="N502" s="54"/>
      <c r="O502" s="54"/>
      <c r="P502" s="54"/>
      <c r="Q502" s="54"/>
      <c r="R502" s="54"/>
      <c r="S502" s="54"/>
      <c r="T502" s="54"/>
      <c r="U502" s="54"/>
      <c r="V502" s="54"/>
      <c r="W502" s="54"/>
      <c r="X502" s="54"/>
    </row>
    <row r="503" spans="1:24" customFormat="1" ht="15" customHeight="1" x14ac:dyDescent="0.2">
      <c r="A503" s="112"/>
      <c r="B503" s="125"/>
      <c r="C503" s="113"/>
      <c r="D503" s="57"/>
      <c r="E503" s="57"/>
      <c r="F503" s="57"/>
      <c r="G503" s="54"/>
      <c r="H503" s="54"/>
      <c r="I503" s="54"/>
      <c r="J503" s="54"/>
      <c r="K503" s="54"/>
      <c r="L503" s="54"/>
      <c r="M503" s="54"/>
      <c r="N503" s="54"/>
      <c r="O503" s="54"/>
      <c r="P503" s="54"/>
      <c r="Q503" s="54"/>
      <c r="R503" s="54"/>
      <c r="S503" s="54"/>
      <c r="T503" s="54"/>
      <c r="U503" s="54"/>
      <c r="V503" s="54"/>
      <c r="W503" s="54"/>
      <c r="X503" s="54"/>
    </row>
    <row r="504" spans="1:24" customFormat="1" ht="15" customHeight="1" x14ac:dyDescent="0.2">
      <c r="A504" s="112"/>
      <c r="B504" s="125"/>
      <c r="C504" s="113"/>
      <c r="D504" s="57"/>
      <c r="E504" s="57"/>
      <c r="F504" s="57"/>
      <c r="G504" s="54"/>
      <c r="H504" s="54"/>
      <c r="I504" s="54"/>
      <c r="J504" s="54"/>
      <c r="K504" s="54"/>
      <c r="L504" s="54"/>
      <c r="M504" s="54"/>
      <c r="N504" s="54"/>
      <c r="O504" s="54"/>
      <c r="P504" s="54"/>
      <c r="Q504" s="54"/>
      <c r="R504" s="54"/>
      <c r="S504" s="54"/>
      <c r="T504" s="54"/>
      <c r="U504" s="54"/>
      <c r="V504" s="54"/>
      <c r="W504" s="54"/>
      <c r="X504" s="54"/>
    </row>
    <row r="505" spans="1:24" customFormat="1" ht="15" customHeight="1" x14ac:dyDescent="0.2">
      <c r="A505" s="112"/>
      <c r="B505" s="125"/>
      <c r="C505" s="113"/>
      <c r="D505" s="57"/>
      <c r="E505" s="57"/>
      <c r="F505" s="57"/>
      <c r="G505" s="54"/>
      <c r="H505" s="54"/>
      <c r="I505" s="54"/>
      <c r="J505" s="54"/>
      <c r="K505" s="54"/>
      <c r="L505" s="54"/>
      <c r="M505" s="54"/>
      <c r="N505" s="54"/>
      <c r="O505" s="54"/>
      <c r="P505" s="54"/>
      <c r="Q505" s="54"/>
      <c r="R505" s="54"/>
      <c r="S505" s="54"/>
      <c r="T505" s="54"/>
      <c r="U505" s="54"/>
      <c r="V505" s="54"/>
      <c r="W505" s="54"/>
      <c r="X505" s="54"/>
    </row>
    <row r="506" spans="1:24" customFormat="1" ht="15" customHeight="1" x14ac:dyDescent="0.2">
      <c r="A506" s="112"/>
      <c r="B506" s="125"/>
      <c r="C506" s="113"/>
      <c r="D506" s="57"/>
      <c r="E506" s="57"/>
      <c r="F506" s="57"/>
      <c r="G506" s="54"/>
      <c r="H506" s="54"/>
      <c r="I506" s="54"/>
      <c r="J506" s="54"/>
      <c r="K506" s="54"/>
      <c r="L506" s="54"/>
      <c r="M506" s="54"/>
      <c r="N506" s="54"/>
      <c r="O506" s="54"/>
      <c r="P506" s="54"/>
      <c r="Q506" s="54"/>
      <c r="R506" s="54"/>
      <c r="S506" s="54"/>
      <c r="T506" s="54"/>
      <c r="U506" s="54"/>
      <c r="V506" s="54"/>
      <c r="W506" s="54"/>
      <c r="X506" s="54"/>
    </row>
    <row r="507" spans="1:24" customFormat="1" ht="15" customHeight="1" x14ac:dyDescent="0.2">
      <c r="A507" s="112"/>
      <c r="B507" s="125"/>
      <c r="C507" s="113"/>
      <c r="D507" s="57"/>
      <c r="E507" s="57"/>
      <c r="F507" s="57"/>
      <c r="G507" s="54"/>
      <c r="H507" s="54"/>
      <c r="I507" s="54"/>
      <c r="J507" s="54"/>
      <c r="K507" s="54"/>
      <c r="L507" s="54"/>
      <c r="M507" s="54"/>
      <c r="N507" s="54"/>
      <c r="O507" s="54"/>
      <c r="P507" s="54"/>
      <c r="Q507" s="54"/>
      <c r="R507" s="54"/>
      <c r="S507" s="54"/>
      <c r="T507" s="54"/>
      <c r="U507" s="54"/>
      <c r="V507" s="54"/>
      <c r="W507" s="54"/>
      <c r="X507" s="54"/>
    </row>
    <row r="508" spans="1:24" customFormat="1" ht="15" customHeight="1" x14ac:dyDescent="0.2">
      <c r="A508" s="112"/>
      <c r="B508" s="125"/>
      <c r="C508" s="113"/>
      <c r="D508" s="57"/>
      <c r="E508" s="57"/>
      <c r="F508" s="57"/>
      <c r="G508" s="54"/>
      <c r="H508" s="54"/>
      <c r="I508" s="54"/>
      <c r="J508" s="54"/>
      <c r="K508" s="54"/>
      <c r="L508" s="54"/>
      <c r="M508" s="54"/>
      <c r="N508" s="54"/>
      <c r="O508" s="54"/>
      <c r="P508" s="54"/>
      <c r="Q508" s="54"/>
      <c r="R508" s="54"/>
      <c r="S508" s="54"/>
      <c r="T508" s="54"/>
      <c r="U508" s="54"/>
      <c r="V508" s="54"/>
      <c r="W508" s="54"/>
      <c r="X508" s="54"/>
    </row>
    <row r="509" spans="1:24" customFormat="1" ht="15" customHeight="1" x14ac:dyDescent="0.2">
      <c r="A509" s="112"/>
      <c r="B509" s="125"/>
      <c r="C509" s="113"/>
      <c r="D509" s="57"/>
      <c r="E509" s="57"/>
      <c r="F509" s="57"/>
      <c r="G509" s="54"/>
      <c r="H509" s="54"/>
      <c r="I509" s="54"/>
      <c r="J509" s="54"/>
      <c r="K509" s="54"/>
      <c r="L509" s="54"/>
      <c r="M509" s="54"/>
      <c r="N509" s="54"/>
      <c r="O509" s="54"/>
      <c r="P509" s="54"/>
      <c r="Q509" s="54"/>
      <c r="R509" s="54"/>
      <c r="S509" s="54"/>
      <c r="T509" s="54"/>
      <c r="U509" s="54"/>
      <c r="V509" s="54"/>
      <c r="W509" s="54"/>
      <c r="X509" s="54"/>
    </row>
    <row r="510" spans="1:24" customFormat="1" ht="15" customHeight="1" x14ac:dyDescent="0.2">
      <c r="A510" s="112"/>
      <c r="B510" s="125"/>
      <c r="C510" s="113"/>
      <c r="D510" s="57"/>
      <c r="E510" s="57"/>
      <c r="F510" s="57"/>
      <c r="G510" s="54"/>
      <c r="H510" s="54"/>
      <c r="I510" s="54"/>
      <c r="J510" s="54"/>
      <c r="K510" s="54"/>
      <c r="L510" s="54"/>
      <c r="M510" s="54"/>
      <c r="N510" s="54"/>
      <c r="O510" s="54"/>
      <c r="P510" s="54"/>
      <c r="Q510" s="54"/>
      <c r="R510" s="54"/>
      <c r="S510" s="54"/>
      <c r="T510" s="54"/>
      <c r="U510" s="54"/>
      <c r="V510" s="54"/>
      <c r="W510" s="54"/>
      <c r="X510" s="54"/>
    </row>
    <row r="511" spans="1:24" customFormat="1" ht="15" customHeight="1" x14ac:dyDescent="0.2">
      <c r="A511" s="112"/>
      <c r="B511" s="125"/>
      <c r="C511" s="113"/>
      <c r="D511" s="57"/>
      <c r="E511" s="57"/>
      <c r="F511" s="57"/>
      <c r="G511" s="54"/>
      <c r="H511" s="54"/>
      <c r="I511" s="54"/>
      <c r="J511" s="54"/>
      <c r="K511" s="54"/>
      <c r="L511" s="54"/>
      <c r="M511" s="54"/>
      <c r="N511" s="54"/>
      <c r="O511" s="54"/>
      <c r="P511" s="54"/>
      <c r="Q511" s="54"/>
      <c r="R511" s="54"/>
      <c r="S511" s="54"/>
      <c r="T511" s="54"/>
      <c r="U511" s="54"/>
      <c r="V511" s="54"/>
      <c r="W511" s="54"/>
      <c r="X511" s="54"/>
    </row>
    <row r="512" spans="1:24" customFormat="1" ht="15" customHeight="1" x14ac:dyDescent="0.2">
      <c r="A512" s="112"/>
      <c r="B512" s="125"/>
      <c r="C512" s="113"/>
      <c r="D512" s="57"/>
      <c r="E512" s="57"/>
      <c r="F512" s="57"/>
      <c r="G512" s="54"/>
      <c r="H512" s="54"/>
      <c r="I512" s="54"/>
      <c r="J512" s="54"/>
      <c r="K512" s="54"/>
      <c r="L512" s="54"/>
      <c r="M512" s="54"/>
      <c r="N512" s="54"/>
      <c r="O512" s="54"/>
      <c r="P512" s="54"/>
      <c r="Q512" s="54"/>
      <c r="R512" s="54"/>
      <c r="S512" s="54"/>
      <c r="T512" s="54"/>
      <c r="U512" s="54"/>
      <c r="V512" s="54"/>
      <c r="W512" s="54"/>
      <c r="X512" s="54"/>
    </row>
    <row r="513" spans="1:24" customFormat="1" ht="15" customHeight="1" x14ac:dyDescent="0.2">
      <c r="A513" s="112"/>
      <c r="B513" s="125"/>
      <c r="C513" s="113"/>
      <c r="D513" s="57"/>
      <c r="E513" s="57"/>
      <c r="F513" s="57"/>
      <c r="G513" s="54"/>
      <c r="H513" s="54"/>
      <c r="I513" s="54"/>
      <c r="J513" s="54"/>
      <c r="K513" s="54"/>
      <c r="L513" s="54"/>
      <c r="M513" s="54"/>
      <c r="N513" s="54"/>
      <c r="O513" s="54"/>
      <c r="P513" s="54"/>
      <c r="Q513" s="54"/>
      <c r="R513" s="54"/>
      <c r="S513" s="54"/>
      <c r="T513" s="54"/>
      <c r="U513" s="54"/>
      <c r="V513" s="54"/>
      <c r="W513" s="54"/>
      <c r="X513" s="54"/>
    </row>
    <row r="514" spans="1:24" customFormat="1" ht="15" customHeight="1" x14ac:dyDescent="0.2">
      <c r="A514" s="112"/>
      <c r="B514" s="125"/>
      <c r="C514" s="113"/>
      <c r="D514" s="57"/>
      <c r="E514" s="57"/>
      <c r="F514" s="57"/>
      <c r="G514" s="54"/>
      <c r="H514" s="54"/>
      <c r="I514" s="54"/>
      <c r="J514" s="54"/>
      <c r="K514" s="54"/>
      <c r="L514" s="54"/>
      <c r="M514" s="54"/>
      <c r="N514" s="54"/>
      <c r="O514" s="54"/>
      <c r="P514" s="54"/>
      <c r="Q514" s="54"/>
      <c r="R514" s="54"/>
      <c r="S514" s="54"/>
      <c r="T514" s="54"/>
      <c r="U514" s="54"/>
      <c r="V514" s="54"/>
      <c r="W514" s="54"/>
      <c r="X514" s="54"/>
    </row>
    <row r="515" spans="1:24" customFormat="1" ht="15" customHeight="1" x14ac:dyDescent="0.2">
      <c r="A515" s="112"/>
      <c r="B515" s="125"/>
      <c r="C515" s="113"/>
      <c r="D515" s="57"/>
      <c r="E515" s="57"/>
      <c r="F515" s="57"/>
      <c r="G515" s="54"/>
      <c r="H515" s="54"/>
      <c r="I515" s="54"/>
      <c r="J515" s="54"/>
      <c r="K515" s="54"/>
      <c r="L515" s="54"/>
      <c r="M515" s="54"/>
      <c r="N515" s="54"/>
      <c r="O515" s="54"/>
      <c r="P515" s="54"/>
      <c r="Q515" s="54"/>
      <c r="R515" s="54"/>
      <c r="S515" s="54"/>
      <c r="T515" s="54"/>
      <c r="U515" s="54"/>
      <c r="V515" s="54"/>
      <c r="W515" s="54"/>
      <c r="X515" s="54"/>
    </row>
    <row r="516" spans="1:24" customFormat="1" ht="15" customHeight="1" x14ac:dyDescent="0.2">
      <c r="A516" s="112"/>
      <c r="B516" s="125"/>
      <c r="C516" s="113"/>
      <c r="D516" s="57"/>
      <c r="E516" s="57"/>
      <c r="F516" s="57"/>
      <c r="G516" s="54"/>
      <c r="H516" s="54"/>
      <c r="I516" s="54"/>
      <c r="J516" s="54"/>
      <c r="K516" s="54"/>
      <c r="L516" s="54"/>
      <c r="M516" s="54"/>
      <c r="N516" s="54"/>
      <c r="O516" s="54"/>
      <c r="P516" s="54"/>
      <c r="Q516" s="54"/>
      <c r="R516" s="54"/>
      <c r="S516" s="54"/>
      <c r="T516" s="54"/>
      <c r="U516" s="54"/>
      <c r="V516" s="54"/>
      <c r="W516" s="54"/>
      <c r="X516" s="54"/>
    </row>
    <row r="517" spans="1:24" customFormat="1" ht="15" customHeight="1" x14ac:dyDescent="0.2">
      <c r="A517" s="112"/>
      <c r="B517" s="125"/>
      <c r="C517" s="113"/>
      <c r="D517" s="57"/>
      <c r="E517" s="57"/>
      <c r="F517" s="57"/>
      <c r="G517" s="54"/>
      <c r="H517" s="54"/>
      <c r="I517" s="54"/>
      <c r="J517" s="54"/>
      <c r="K517" s="54"/>
      <c r="L517" s="54"/>
      <c r="M517" s="54"/>
      <c r="N517" s="54"/>
      <c r="O517" s="54"/>
      <c r="P517" s="54"/>
      <c r="Q517" s="54"/>
      <c r="R517" s="54"/>
      <c r="S517" s="54"/>
      <c r="T517" s="54"/>
      <c r="U517" s="54"/>
      <c r="V517" s="54"/>
      <c r="W517" s="54"/>
      <c r="X517" s="54"/>
    </row>
    <row r="518" spans="1:24" customFormat="1" ht="15" customHeight="1" x14ac:dyDescent="0.2">
      <c r="A518" s="112"/>
      <c r="B518" s="125"/>
      <c r="C518" s="113"/>
      <c r="D518" s="57"/>
      <c r="E518" s="57"/>
      <c r="F518" s="57"/>
      <c r="G518" s="54"/>
      <c r="H518" s="54"/>
      <c r="I518" s="54"/>
      <c r="J518" s="54"/>
      <c r="K518" s="54"/>
      <c r="L518" s="54"/>
      <c r="M518" s="54"/>
      <c r="N518" s="54"/>
      <c r="O518" s="54"/>
      <c r="P518" s="54"/>
      <c r="Q518" s="54"/>
      <c r="R518" s="54"/>
      <c r="S518" s="54"/>
      <c r="T518" s="54"/>
      <c r="U518" s="54"/>
      <c r="V518" s="54"/>
      <c r="W518" s="54"/>
      <c r="X518" s="54"/>
    </row>
    <row r="519" spans="1:24" customFormat="1" ht="15" customHeight="1" x14ac:dyDescent="0.2">
      <c r="A519" s="112"/>
      <c r="B519" s="125"/>
      <c r="C519" s="113"/>
      <c r="D519" s="57"/>
      <c r="E519" s="57"/>
      <c r="F519" s="57"/>
      <c r="G519" s="54"/>
      <c r="H519" s="54"/>
      <c r="I519" s="54"/>
      <c r="J519" s="54"/>
      <c r="K519" s="54"/>
      <c r="L519" s="54"/>
      <c r="M519" s="54"/>
      <c r="N519" s="54"/>
      <c r="O519" s="54"/>
      <c r="P519" s="54"/>
      <c r="Q519" s="54"/>
      <c r="R519" s="54"/>
      <c r="S519" s="54"/>
      <c r="T519" s="54"/>
      <c r="U519" s="54"/>
      <c r="V519" s="54"/>
      <c r="W519" s="54"/>
      <c r="X519" s="54"/>
    </row>
    <row r="520" spans="1:24" customFormat="1" ht="15" customHeight="1" x14ac:dyDescent="0.2">
      <c r="A520" s="112"/>
      <c r="B520" s="125"/>
      <c r="C520" s="113"/>
      <c r="D520" s="57"/>
      <c r="E520" s="57"/>
      <c r="F520" s="57"/>
      <c r="G520" s="54"/>
      <c r="H520" s="54"/>
      <c r="I520" s="54"/>
      <c r="J520" s="54"/>
      <c r="K520" s="54"/>
      <c r="L520" s="54"/>
      <c r="M520" s="54"/>
      <c r="N520" s="54"/>
      <c r="O520" s="54"/>
      <c r="P520" s="54"/>
      <c r="Q520" s="54"/>
      <c r="R520" s="54"/>
      <c r="S520" s="54"/>
      <c r="T520" s="54"/>
      <c r="U520" s="54"/>
      <c r="V520" s="54"/>
      <c r="W520" s="54"/>
      <c r="X520" s="54"/>
    </row>
    <row r="521" spans="1:24" customFormat="1" ht="15.75" customHeight="1" x14ac:dyDescent="0.2">
      <c r="C521" s="115"/>
    </row>
    <row r="522" spans="1:24" customFormat="1" ht="15.75" customHeight="1" x14ac:dyDescent="0.2">
      <c r="C522" s="115"/>
    </row>
    <row r="523" spans="1:24" customFormat="1" ht="15.75" customHeight="1" x14ac:dyDescent="0.2">
      <c r="C523" s="115"/>
    </row>
    <row r="524" spans="1:24" customFormat="1" ht="15.75" customHeight="1" x14ac:dyDescent="0.2">
      <c r="C524" s="115"/>
    </row>
    <row r="525" spans="1:24" customFormat="1" ht="15.75" customHeight="1" x14ac:dyDescent="0.2">
      <c r="C525" s="115"/>
    </row>
    <row r="526" spans="1:24" customFormat="1" ht="15.75" customHeight="1" x14ac:dyDescent="0.2">
      <c r="C526" s="115"/>
    </row>
    <row r="527" spans="1:24" customFormat="1" ht="15.75" customHeight="1" x14ac:dyDescent="0.2">
      <c r="C527" s="115"/>
    </row>
    <row r="528" spans="1:24" customFormat="1" ht="15.75" customHeight="1" x14ac:dyDescent="0.2">
      <c r="C528" s="115"/>
    </row>
    <row r="529" spans="3:3" customFormat="1" ht="15.75" customHeight="1" x14ac:dyDescent="0.2">
      <c r="C529" s="115"/>
    </row>
    <row r="530" spans="3:3" customFormat="1" ht="15.75" customHeight="1" x14ac:dyDescent="0.2">
      <c r="C530" s="115"/>
    </row>
    <row r="531" spans="3:3" customFormat="1" ht="15.75" customHeight="1" x14ac:dyDescent="0.2">
      <c r="C531" s="115"/>
    </row>
    <row r="532" spans="3:3" customFormat="1" ht="15.75" customHeight="1" x14ac:dyDescent="0.2">
      <c r="C532" s="115"/>
    </row>
    <row r="533" spans="3:3" customFormat="1" ht="15.75" customHeight="1" x14ac:dyDescent="0.2">
      <c r="C533" s="115"/>
    </row>
    <row r="534" spans="3:3" customFormat="1" ht="15.75" customHeight="1" x14ac:dyDescent="0.2">
      <c r="C534" s="115"/>
    </row>
    <row r="535" spans="3:3" customFormat="1" ht="15.75" customHeight="1" x14ac:dyDescent="0.2">
      <c r="C535" s="115"/>
    </row>
    <row r="536" spans="3:3" customFormat="1" ht="15.75" customHeight="1" x14ac:dyDescent="0.2">
      <c r="C536" s="115"/>
    </row>
    <row r="537" spans="3:3" customFormat="1" ht="15.75" customHeight="1" x14ac:dyDescent="0.2">
      <c r="C537" s="115"/>
    </row>
    <row r="538" spans="3:3" customFormat="1" ht="15.75" customHeight="1" x14ac:dyDescent="0.2">
      <c r="C538" s="115"/>
    </row>
    <row r="539" spans="3:3" customFormat="1" ht="15.75" customHeight="1" x14ac:dyDescent="0.2">
      <c r="C539" s="115"/>
    </row>
    <row r="540" spans="3:3" customFormat="1" ht="15.75" customHeight="1" x14ac:dyDescent="0.2">
      <c r="C540" s="115"/>
    </row>
    <row r="541" spans="3:3" customFormat="1" ht="15.75" customHeight="1" x14ac:dyDescent="0.2">
      <c r="C541" s="115"/>
    </row>
    <row r="542" spans="3:3" customFormat="1" ht="15.75" customHeight="1" x14ac:dyDescent="0.2">
      <c r="C542" s="115"/>
    </row>
    <row r="543" spans="3:3" customFormat="1" ht="15.75" customHeight="1" x14ac:dyDescent="0.2">
      <c r="C543" s="115"/>
    </row>
    <row r="544" spans="3:3" customFormat="1" ht="15.75" customHeight="1" x14ac:dyDescent="0.2">
      <c r="C544" s="115"/>
    </row>
    <row r="545" spans="3:3" customFormat="1" ht="15.75" customHeight="1" x14ac:dyDescent="0.2">
      <c r="C545" s="115"/>
    </row>
    <row r="546" spans="3:3" customFormat="1" ht="15.75" customHeight="1" x14ac:dyDescent="0.2">
      <c r="C546" s="115"/>
    </row>
    <row r="547" spans="3:3" customFormat="1" ht="15.75" customHeight="1" x14ac:dyDescent="0.2">
      <c r="C547" s="115"/>
    </row>
    <row r="548" spans="3:3" customFormat="1" ht="15.75" customHeight="1" x14ac:dyDescent="0.2">
      <c r="C548" s="115"/>
    </row>
    <row r="549" spans="3:3" customFormat="1" ht="15.75" customHeight="1" x14ac:dyDescent="0.2">
      <c r="C549" s="115"/>
    </row>
    <row r="550" spans="3:3" customFormat="1" ht="15.75" customHeight="1" x14ac:dyDescent="0.2">
      <c r="C550" s="115"/>
    </row>
    <row r="551" spans="3:3" customFormat="1" ht="15.75" customHeight="1" x14ac:dyDescent="0.2">
      <c r="C551" s="115"/>
    </row>
    <row r="552" spans="3:3" customFormat="1" ht="15.75" customHeight="1" x14ac:dyDescent="0.2">
      <c r="C552" s="115"/>
    </row>
    <row r="553" spans="3:3" customFormat="1" ht="15.75" customHeight="1" x14ac:dyDescent="0.2">
      <c r="C553" s="115"/>
    </row>
    <row r="554" spans="3:3" customFormat="1" ht="15.75" customHeight="1" x14ac:dyDescent="0.2">
      <c r="C554" s="115"/>
    </row>
    <row r="555" spans="3:3" customFormat="1" ht="15.75" customHeight="1" x14ac:dyDescent="0.2">
      <c r="C555" s="115"/>
    </row>
    <row r="556" spans="3:3" customFormat="1" ht="15.75" customHeight="1" x14ac:dyDescent="0.2">
      <c r="C556" s="115"/>
    </row>
    <row r="557" spans="3:3" customFormat="1" ht="15.75" customHeight="1" x14ac:dyDescent="0.2">
      <c r="C557" s="115"/>
    </row>
    <row r="558" spans="3:3" customFormat="1" ht="15.75" customHeight="1" x14ac:dyDescent="0.2">
      <c r="C558" s="115"/>
    </row>
    <row r="559" spans="3:3" customFormat="1" ht="15.75" customHeight="1" x14ac:dyDescent="0.2">
      <c r="C559" s="115"/>
    </row>
    <row r="560" spans="3:3" customFormat="1" ht="15.75" customHeight="1" x14ac:dyDescent="0.2">
      <c r="C560" s="115"/>
    </row>
    <row r="561" spans="3:3" customFormat="1" ht="15.75" customHeight="1" x14ac:dyDescent="0.2">
      <c r="C561" s="115"/>
    </row>
    <row r="562" spans="3:3" customFormat="1" ht="15.75" customHeight="1" x14ac:dyDescent="0.2">
      <c r="C562" s="115"/>
    </row>
    <row r="563" spans="3:3" customFormat="1" ht="15.75" customHeight="1" x14ac:dyDescent="0.2">
      <c r="C563" s="115"/>
    </row>
    <row r="564" spans="3:3" customFormat="1" ht="15.75" customHeight="1" x14ac:dyDescent="0.2">
      <c r="C564" s="115"/>
    </row>
    <row r="565" spans="3:3" customFormat="1" ht="15.75" customHeight="1" x14ac:dyDescent="0.2">
      <c r="C565" s="115"/>
    </row>
    <row r="566" spans="3:3" customFormat="1" ht="15.75" customHeight="1" x14ac:dyDescent="0.2">
      <c r="C566" s="115"/>
    </row>
    <row r="567" spans="3:3" customFormat="1" ht="15.75" customHeight="1" x14ac:dyDescent="0.2">
      <c r="C567" s="115"/>
    </row>
    <row r="568" spans="3:3" customFormat="1" ht="15.75" customHeight="1" x14ac:dyDescent="0.2">
      <c r="C568" s="115"/>
    </row>
    <row r="569" spans="3:3" customFormat="1" ht="15.75" customHeight="1" x14ac:dyDescent="0.2">
      <c r="C569" s="115"/>
    </row>
    <row r="570" spans="3:3" customFormat="1" ht="15.75" customHeight="1" x14ac:dyDescent="0.2">
      <c r="C570" s="115"/>
    </row>
    <row r="571" spans="3:3" customFormat="1" ht="15.75" customHeight="1" x14ac:dyDescent="0.2">
      <c r="C571" s="115"/>
    </row>
    <row r="572" spans="3:3" customFormat="1" ht="15.75" customHeight="1" x14ac:dyDescent="0.2">
      <c r="C572" s="115"/>
    </row>
    <row r="573" spans="3:3" customFormat="1" ht="15.75" customHeight="1" x14ac:dyDescent="0.2">
      <c r="C573" s="115"/>
    </row>
    <row r="574" spans="3:3" customFormat="1" ht="15.75" customHeight="1" x14ac:dyDescent="0.2">
      <c r="C574" s="115"/>
    </row>
    <row r="575" spans="3:3" customFormat="1" ht="15.75" customHeight="1" x14ac:dyDescent="0.2">
      <c r="C575" s="115"/>
    </row>
    <row r="576" spans="3:3" customFormat="1" ht="15.75" customHeight="1" x14ac:dyDescent="0.2">
      <c r="C576" s="115"/>
    </row>
    <row r="577" spans="3:3" customFormat="1" ht="15.75" customHeight="1" x14ac:dyDescent="0.2">
      <c r="C577" s="115"/>
    </row>
    <row r="578" spans="3:3" customFormat="1" ht="15.75" customHeight="1" x14ac:dyDescent="0.2">
      <c r="C578" s="115"/>
    </row>
    <row r="579" spans="3:3" customFormat="1" ht="15.75" customHeight="1" x14ac:dyDescent="0.2">
      <c r="C579" s="115"/>
    </row>
    <row r="580" spans="3:3" customFormat="1" ht="15.75" customHeight="1" x14ac:dyDescent="0.2">
      <c r="C580" s="115"/>
    </row>
    <row r="581" spans="3:3" customFormat="1" ht="15.75" customHeight="1" x14ac:dyDescent="0.2">
      <c r="C581" s="115"/>
    </row>
    <row r="582" spans="3:3" customFormat="1" ht="15.75" customHeight="1" x14ac:dyDescent="0.2">
      <c r="C582" s="115"/>
    </row>
    <row r="583" spans="3:3" customFormat="1" ht="15.75" customHeight="1" x14ac:dyDescent="0.2">
      <c r="C583" s="115"/>
    </row>
    <row r="584" spans="3:3" customFormat="1" ht="15.75" customHeight="1" x14ac:dyDescent="0.2">
      <c r="C584" s="115"/>
    </row>
    <row r="585" spans="3:3" customFormat="1" ht="15.75" customHeight="1" x14ac:dyDescent="0.2">
      <c r="C585" s="115"/>
    </row>
    <row r="586" spans="3:3" customFormat="1" ht="15.75" customHeight="1" x14ac:dyDescent="0.2">
      <c r="C586" s="115"/>
    </row>
    <row r="587" spans="3:3" customFormat="1" ht="15.75" customHeight="1" x14ac:dyDescent="0.2">
      <c r="C587" s="115"/>
    </row>
    <row r="588" spans="3:3" customFormat="1" ht="15.75" customHeight="1" x14ac:dyDescent="0.2">
      <c r="C588" s="115"/>
    </row>
    <row r="589" spans="3:3" customFormat="1" ht="15.75" customHeight="1" x14ac:dyDescent="0.2">
      <c r="C589" s="115"/>
    </row>
    <row r="590" spans="3:3" customFormat="1" ht="15.75" customHeight="1" x14ac:dyDescent="0.2">
      <c r="C590" s="115"/>
    </row>
    <row r="591" spans="3:3" customFormat="1" ht="15.75" customHeight="1" x14ac:dyDescent="0.2">
      <c r="C591" s="115"/>
    </row>
    <row r="592" spans="3:3" customFormat="1" ht="15.75" customHeight="1" x14ac:dyDescent="0.2">
      <c r="C592" s="115"/>
    </row>
    <row r="593" spans="3:3" customFormat="1" ht="15.75" customHeight="1" x14ac:dyDescent="0.2">
      <c r="C593" s="115"/>
    </row>
    <row r="594" spans="3:3" customFormat="1" ht="15.75" customHeight="1" x14ac:dyDescent="0.2">
      <c r="C594" s="115"/>
    </row>
    <row r="595" spans="3:3" customFormat="1" ht="15.75" customHeight="1" x14ac:dyDescent="0.2">
      <c r="C595" s="115"/>
    </row>
    <row r="596" spans="3:3" customFormat="1" ht="15.75" customHeight="1" x14ac:dyDescent="0.2">
      <c r="C596" s="115"/>
    </row>
    <row r="597" spans="3:3" customFormat="1" ht="15.75" customHeight="1" x14ac:dyDescent="0.2">
      <c r="C597" s="115"/>
    </row>
    <row r="598" spans="3:3" customFormat="1" ht="15.75" customHeight="1" x14ac:dyDescent="0.2">
      <c r="C598" s="115"/>
    </row>
    <row r="599" spans="3:3" customFormat="1" ht="15.75" customHeight="1" x14ac:dyDescent="0.2">
      <c r="C599" s="115"/>
    </row>
    <row r="600" spans="3:3" customFormat="1" ht="15.75" customHeight="1" x14ac:dyDescent="0.2">
      <c r="C600" s="115"/>
    </row>
    <row r="601" spans="3:3" customFormat="1" ht="15.75" customHeight="1" x14ac:dyDescent="0.2">
      <c r="C601" s="115"/>
    </row>
    <row r="602" spans="3:3" customFormat="1" ht="15.75" customHeight="1" x14ac:dyDescent="0.2">
      <c r="C602" s="115"/>
    </row>
    <row r="603" spans="3:3" customFormat="1" ht="15.75" customHeight="1" x14ac:dyDescent="0.2">
      <c r="C603" s="115"/>
    </row>
    <row r="604" spans="3:3" customFormat="1" ht="15.75" customHeight="1" x14ac:dyDescent="0.2">
      <c r="C604" s="115"/>
    </row>
    <row r="605" spans="3:3" customFormat="1" ht="15.75" customHeight="1" x14ac:dyDescent="0.2">
      <c r="C605" s="115"/>
    </row>
    <row r="606" spans="3:3" customFormat="1" ht="15.75" customHeight="1" x14ac:dyDescent="0.2">
      <c r="C606" s="115"/>
    </row>
    <row r="607" spans="3:3" customFormat="1" ht="15.75" customHeight="1" x14ac:dyDescent="0.2">
      <c r="C607" s="115"/>
    </row>
    <row r="608" spans="3:3" customFormat="1" ht="15.75" customHeight="1" x14ac:dyDescent="0.2">
      <c r="C608" s="115"/>
    </row>
    <row r="609" spans="3:3" customFormat="1" ht="15.75" customHeight="1" x14ac:dyDescent="0.2">
      <c r="C609" s="115"/>
    </row>
    <row r="610" spans="3:3" customFormat="1" ht="15.75" customHeight="1" x14ac:dyDescent="0.2">
      <c r="C610" s="115"/>
    </row>
    <row r="611" spans="3:3" customFormat="1" ht="15.75" customHeight="1" x14ac:dyDescent="0.2">
      <c r="C611" s="115"/>
    </row>
    <row r="612" spans="3:3" customFormat="1" ht="15.75" customHeight="1" x14ac:dyDescent="0.2">
      <c r="C612" s="115"/>
    </row>
    <row r="613" spans="3:3" customFormat="1" ht="15.75" customHeight="1" x14ac:dyDescent="0.2">
      <c r="C613" s="115"/>
    </row>
    <row r="614" spans="3:3" customFormat="1" ht="15.75" customHeight="1" x14ac:dyDescent="0.2">
      <c r="C614" s="115"/>
    </row>
    <row r="615" spans="3:3" customFormat="1" ht="15.75" customHeight="1" x14ac:dyDescent="0.2">
      <c r="C615" s="115"/>
    </row>
    <row r="616" spans="3:3" customFormat="1" ht="15.75" customHeight="1" x14ac:dyDescent="0.2">
      <c r="C616" s="115"/>
    </row>
    <row r="617" spans="3:3" customFormat="1" ht="15.75" customHeight="1" x14ac:dyDescent="0.2">
      <c r="C617" s="115"/>
    </row>
    <row r="618" spans="3:3" customFormat="1" ht="15.75" customHeight="1" x14ac:dyDescent="0.2">
      <c r="C618" s="115"/>
    </row>
    <row r="619" spans="3:3" customFormat="1" ht="15.75" customHeight="1" x14ac:dyDescent="0.2">
      <c r="C619" s="115"/>
    </row>
    <row r="620" spans="3:3" customFormat="1" ht="15.75" customHeight="1" x14ac:dyDescent="0.2">
      <c r="C620" s="115"/>
    </row>
    <row r="621" spans="3:3" customFormat="1" ht="15.75" customHeight="1" x14ac:dyDescent="0.2">
      <c r="C621" s="115"/>
    </row>
    <row r="622" spans="3:3" customFormat="1" ht="15.75" customHeight="1" x14ac:dyDescent="0.2">
      <c r="C622" s="115"/>
    </row>
    <row r="623" spans="3:3" customFormat="1" ht="15.75" customHeight="1" x14ac:dyDescent="0.2">
      <c r="C623" s="115"/>
    </row>
    <row r="624" spans="3:3" customFormat="1" ht="15.75" customHeight="1" x14ac:dyDescent="0.2">
      <c r="C624" s="115"/>
    </row>
    <row r="625" spans="3:3" customFormat="1" ht="15.75" customHeight="1" x14ac:dyDescent="0.2">
      <c r="C625" s="115"/>
    </row>
    <row r="626" spans="3:3" customFormat="1" ht="15.75" customHeight="1" x14ac:dyDescent="0.2">
      <c r="C626" s="115"/>
    </row>
    <row r="627" spans="3:3" customFormat="1" ht="15.75" customHeight="1" x14ac:dyDescent="0.2">
      <c r="C627" s="115"/>
    </row>
    <row r="628" spans="3:3" customFormat="1" ht="15.75" customHeight="1" x14ac:dyDescent="0.2">
      <c r="C628" s="115"/>
    </row>
    <row r="629" spans="3:3" customFormat="1" ht="15.75" customHeight="1" x14ac:dyDescent="0.2">
      <c r="C629" s="115"/>
    </row>
    <row r="630" spans="3:3" customFormat="1" ht="15.75" customHeight="1" x14ac:dyDescent="0.2">
      <c r="C630" s="115"/>
    </row>
    <row r="631" spans="3:3" customFormat="1" ht="15.75" customHeight="1" x14ac:dyDescent="0.2">
      <c r="C631" s="115"/>
    </row>
    <row r="632" spans="3:3" customFormat="1" ht="15.75" customHeight="1" x14ac:dyDescent="0.2">
      <c r="C632" s="115"/>
    </row>
    <row r="633" spans="3:3" customFormat="1" ht="15.75" customHeight="1" x14ac:dyDescent="0.2">
      <c r="C633" s="115"/>
    </row>
    <row r="634" spans="3:3" customFormat="1" ht="15.75" customHeight="1" x14ac:dyDescent="0.2">
      <c r="C634" s="115"/>
    </row>
    <row r="635" spans="3:3" customFormat="1" ht="15.75" customHeight="1" x14ac:dyDescent="0.2">
      <c r="C635" s="115"/>
    </row>
    <row r="636" spans="3:3" customFormat="1" ht="15.75" customHeight="1" x14ac:dyDescent="0.2">
      <c r="C636" s="115"/>
    </row>
    <row r="637" spans="3:3" customFormat="1" ht="15.75" customHeight="1" x14ac:dyDescent="0.2">
      <c r="C637" s="115"/>
    </row>
    <row r="638" spans="3:3" customFormat="1" ht="15.75" customHeight="1" x14ac:dyDescent="0.2">
      <c r="C638" s="115"/>
    </row>
    <row r="639" spans="3:3" customFormat="1" ht="15.75" customHeight="1" x14ac:dyDescent="0.2">
      <c r="C639" s="115"/>
    </row>
    <row r="640" spans="3:3" customFormat="1" ht="15.75" customHeight="1" x14ac:dyDescent="0.2">
      <c r="C640" s="115"/>
    </row>
    <row r="641" spans="3:3" customFormat="1" ht="15.75" customHeight="1" x14ac:dyDescent="0.2">
      <c r="C641" s="115"/>
    </row>
    <row r="642" spans="3:3" customFormat="1" ht="15.75" customHeight="1" x14ac:dyDescent="0.2">
      <c r="C642" s="115"/>
    </row>
    <row r="643" spans="3:3" customFormat="1" ht="15.75" customHeight="1" x14ac:dyDescent="0.2">
      <c r="C643" s="115"/>
    </row>
    <row r="644" spans="3:3" customFormat="1" ht="15.75" customHeight="1" x14ac:dyDescent="0.2">
      <c r="C644" s="115"/>
    </row>
    <row r="645" spans="3:3" customFormat="1" ht="15.75" customHeight="1" x14ac:dyDescent="0.2">
      <c r="C645" s="115"/>
    </row>
    <row r="646" spans="3:3" customFormat="1" ht="15.75" customHeight="1" x14ac:dyDescent="0.2">
      <c r="C646" s="115"/>
    </row>
    <row r="647" spans="3:3" customFormat="1" ht="15.75" customHeight="1" x14ac:dyDescent="0.2">
      <c r="C647" s="115"/>
    </row>
    <row r="648" spans="3:3" customFormat="1" ht="15.75" customHeight="1" x14ac:dyDescent="0.2">
      <c r="C648" s="115"/>
    </row>
    <row r="649" spans="3:3" customFormat="1" ht="15.75" customHeight="1" x14ac:dyDescent="0.2">
      <c r="C649" s="115"/>
    </row>
    <row r="650" spans="3:3" customFormat="1" ht="15.75" customHeight="1" x14ac:dyDescent="0.2">
      <c r="C650" s="115"/>
    </row>
    <row r="651" spans="3:3" customFormat="1" ht="15.75" customHeight="1" x14ac:dyDescent="0.2">
      <c r="C651" s="115"/>
    </row>
    <row r="652" spans="3:3" customFormat="1" ht="15.75" customHeight="1" x14ac:dyDescent="0.2">
      <c r="C652" s="115"/>
    </row>
    <row r="653" spans="3:3" customFormat="1" ht="15.75" customHeight="1" x14ac:dyDescent="0.2">
      <c r="C653" s="115"/>
    </row>
    <row r="654" spans="3:3" customFormat="1" ht="15.75" customHeight="1" x14ac:dyDescent="0.2">
      <c r="C654" s="115"/>
    </row>
    <row r="655" spans="3:3" customFormat="1" ht="15.75" customHeight="1" x14ac:dyDescent="0.2">
      <c r="C655" s="115"/>
    </row>
    <row r="656" spans="3:3" customFormat="1" ht="15.75" customHeight="1" x14ac:dyDescent="0.2">
      <c r="C656" s="115"/>
    </row>
    <row r="657" spans="3:3" customFormat="1" ht="15.75" customHeight="1" x14ac:dyDescent="0.2">
      <c r="C657" s="115"/>
    </row>
    <row r="658" spans="3:3" customFormat="1" ht="15.75" customHeight="1" x14ac:dyDescent="0.2">
      <c r="C658" s="115"/>
    </row>
    <row r="659" spans="3:3" customFormat="1" ht="15.75" customHeight="1" x14ac:dyDescent="0.2">
      <c r="C659" s="115"/>
    </row>
    <row r="660" spans="3:3" customFormat="1" ht="15.75" customHeight="1" x14ac:dyDescent="0.2">
      <c r="C660" s="115"/>
    </row>
    <row r="661" spans="3:3" customFormat="1" ht="15.75" customHeight="1" x14ac:dyDescent="0.2">
      <c r="C661" s="115"/>
    </row>
    <row r="662" spans="3:3" customFormat="1" ht="15.75" customHeight="1" x14ac:dyDescent="0.2">
      <c r="C662" s="115"/>
    </row>
    <row r="663" spans="3:3" customFormat="1" ht="15.75" customHeight="1" x14ac:dyDescent="0.2">
      <c r="C663" s="115"/>
    </row>
    <row r="664" spans="3:3" customFormat="1" ht="15.75" customHeight="1" x14ac:dyDescent="0.2">
      <c r="C664" s="115"/>
    </row>
    <row r="665" spans="3:3" customFormat="1" ht="15.75" customHeight="1" x14ac:dyDescent="0.2">
      <c r="C665" s="115"/>
    </row>
    <row r="666" spans="3:3" customFormat="1" ht="15.75" customHeight="1" x14ac:dyDescent="0.2">
      <c r="C666" s="115"/>
    </row>
    <row r="667" spans="3:3" customFormat="1" ht="15.75" customHeight="1" x14ac:dyDescent="0.2">
      <c r="C667" s="115"/>
    </row>
    <row r="668" spans="3:3" customFormat="1" ht="15.75" customHeight="1" x14ac:dyDescent="0.2">
      <c r="C668" s="115"/>
    </row>
    <row r="669" spans="3:3" customFormat="1" ht="15.75" customHeight="1" x14ac:dyDescent="0.2">
      <c r="C669" s="115"/>
    </row>
    <row r="670" spans="3:3" customFormat="1" ht="15.75" customHeight="1" x14ac:dyDescent="0.2">
      <c r="C670" s="115"/>
    </row>
    <row r="671" spans="3:3" customFormat="1" ht="15.75" customHeight="1" x14ac:dyDescent="0.2">
      <c r="C671" s="115"/>
    </row>
    <row r="672" spans="3:3" customFormat="1" ht="15.75" customHeight="1" x14ac:dyDescent="0.2">
      <c r="C672" s="115"/>
    </row>
    <row r="673" spans="3:3" customFormat="1" ht="15.75" customHeight="1" x14ac:dyDescent="0.2">
      <c r="C673" s="115"/>
    </row>
    <row r="674" spans="3:3" customFormat="1" ht="15.75" customHeight="1" x14ac:dyDescent="0.2">
      <c r="C674" s="115"/>
    </row>
    <row r="675" spans="3:3" customFormat="1" ht="15.75" customHeight="1" x14ac:dyDescent="0.2">
      <c r="C675" s="115"/>
    </row>
    <row r="676" spans="3:3" customFormat="1" ht="15.75" customHeight="1" x14ac:dyDescent="0.2">
      <c r="C676" s="115"/>
    </row>
    <row r="677" spans="3:3" customFormat="1" ht="15.75" customHeight="1" x14ac:dyDescent="0.2">
      <c r="C677" s="115"/>
    </row>
    <row r="678" spans="3:3" customFormat="1" ht="15.75" customHeight="1" x14ac:dyDescent="0.2">
      <c r="C678" s="115"/>
    </row>
    <row r="679" spans="3:3" customFormat="1" ht="15.75" customHeight="1" x14ac:dyDescent="0.2">
      <c r="C679" s="115"/>
    </row>
    <row r="680" spans="3:3" customFormat="1" ht="15.75" customHeight="1" x14ac:dyDescent="0.2">
      <c r="C680" s="115"/>
    </row>
    <row r="681" spans="3:3" customFormat="1" ht="15.75" customHeight="1" x14ac:dyDescent="0.2">
      <c r="C681" s="115"/>
    </row>
    <row r="682" spans="3:3" customFormat="1" ht="15.75" customHeight="1" x14ac:dyDescent="0.2">
      <c r="C682" s="115"/>
    </row>
    <row r="683" spans="3:3" customFormat="1" ht="15.75" customHeight="1" x14ac:dyDescent="0.2">
      <c r="C683" s="115"/>
    </row>
    <row r="684" spans="3:3" customFormat="1" ht="15.75" customHeight="1" x14ac:dyDescent="0.2">
      <c r="C684" s="115"/>
    </row>
    <row r="685" spans="3:3" customFormat="1" ht="15.75" customHeight="1" x14ac:dyDescent="0.2">
      <c r="C685" s="115"/>
    </row>
    <row r="686" spans="3:3" customFormat="1" ht="15.75" customHeight="1" x14ac:dyDescent="0.2">
      <c r="C686" s="115"/>
    </row>
    <row r="687" spans="3:3" customFormat="1" ht="15.75" customHeight="1" x14ac:dyDescent="0.2">
      <c r="C687" s="115"/>
    </row>
    <row r="688" spans="3:3" customFormat="1" ht="15.75" customHeight="1" x14ac:dyDescent="0.2">
      <c r="C688" s="115"/>
    </row>
    <row r="689" spans="3:3" customFormat="1" ht="15.75" customHeight="1" x14ac:dyDescent="0.2">
      <c r="C689" s="115"/>
    </row>
    <row r="690" spans="3:3" customFormat="1" ht="15.75" customHeight="1" x14ac:dyDescent="0.2">
      <c r="C690" s="115"/>
    </row>
    <row r="691" spans="3:3" customFormat="1" ht="15.75" customHeight="1" x14ac:dyDescent="0.2">
      <c r="C691" s="115"/>
    </row>
    <row r="692" spans="3:3" customFormat="1" ht="15.75" customHeight="1" x14ac:dyDescent="0.2">
      <c r="C692" s="115"/>
    </row>
    <row r="693" spans="3:3" customFormat="1" ht="15.75" customHeight="1" x14ac:dyDescent="0.2">
      <c r="C693" s="115"/>
    </row>
    <row r="694" spans="3:3" customFormat="1" ht="15.75" customHeight="1" x14ac:dyDescent="0.2">
      <c r="C694" s="115"/>
    </row>
    <row r="695" spans="3:3" customFormat="1" ht="15.75" customHeight="1" x14ac:dyDescent="0.2">
      <c r="C695" s="115"/>
    </row>
    <row r="696" spans="3:3" customFormat="1" ht="15.75" customHeight="1" x14ac:dyDescent="0.2">
      <c r="C696" s="115"/>
    </row>
    <row r="697" spans="3:3" customFormat="1" ht="15.75" customHeight="1" x14ac:dyDescent="0.2">
      <c r="C697" s="115"/>
    </row>
    <row r="698" spans="3:3" customFormat="1" ht="15.75" customHeight="1" x14ac:dyDescent="0.2">
      <c r="C698" s="115"/>
    </row>
    <row r="699" spans="3:3" customFormat="1" ht="15.75" customHeight="1" x14ac:dyDescent="0.2">
      <c r="C699" s="115"/>
    </row>
    <row r="700" spans="3:3" customFormat="1" ht="15.75" customHeight="1" x14ac:dyDescent="0.2">
      <c r="C700" s="115"/>
    </row>
    <row r="701" spans="3:3" customFormat="1" ht="15.75" customHeight="1" x14ac:dyDescent="0.2">
      <c r="C701" s="115"/>
    </row>
    <row r="702" spans="3:3" customFormat="1" ht="15.75" customHeight="1" x14ac:dyDescent="0.2">
      <c r="C702" s="115"/>
    </row>
    <row r="703" spans="3:3" customFormat="1" ht="15.75" customHeight="1" x14ac:dyDescent="0.2">
      <c r="C703" s="115"/>
    </row>
    <row r="704" spans="3:3" customFormat="1" ht="15.75" customHeight="1" x14ac:dyDescent="0.2">
      <c r="C704" s="115"/>
    </row>
    <row r="705" spans="3:3" customFormat="1" ht="15.75" customHeight="1" x14ac:dyDescent="0.2">
      <c r="C705" s="115"/>
    </row>
    <row r="706" spans="3:3" customFormat="1" ht="15.75" customHeight="1" x14ac:dyDescent="0.2">
      <c r="C706" s="115"/>
    </row>
    <row r="707" spans="3:3" customFormat="1" ht="15.75" customHeight="1" x14ac:dyDescent="0.2">
      <c r="C707" s="115"/>
    </row>
    <row r="708" spans="3:3" customFormat="1" ht="15.75" customHeight="1" x14ac:dyDescent="0.2">
      <c r="C708" s="115"/>
    </row>
    <row r="709" spans="3:3" customFormat="1" ht="15.75" customHeight="1" x14ac:dyDescent="0.2">
      <c r="C709" s="115"/>
    </row>
    <row r="710" spans="3:3" customFormat="1" ht="15.75" customHeight="1" x14ac:dyDescent="0.2">
      <c r="C710" s="115"/>
    </row>
    <row r="711" spans="3:3" customFormat="1" ht="15.75" customHeight="1" x14ac:dyDescent="0.2">
      <c r="C711" s="115"/>
    </row>
    <row r="712" spans="3:3" customFormat="1" ht="15.75" customHeight="1" x14ac:dyDescent="0.2">
      <c r="C712" s="115"/>
    </row>
    <row r="713" spans="3:3" customFormat="1" ht="15.75" customHeight="1" x14ac:dyDescent="0.2">
      <c r="C713" s="115"/>
    </row>
    <row r="714" spans="3:3" customFormat="1" ht="15.75" customHeight="1" x14ac:dyDescent="0.2">
      <c r="C714" s="115"/>
    </row>
    <row r="715" spans="3:3" customFormat="1" ht="15.75" customHeight="1" x14ac:dyDescent="0.2">
      <c r="C715" s="115"/>
    </row>
    <row r="716" spans="3:3" customFormat="1" ht="15.75" customHeight="1" x14ac:dyDescent="0.2">
      <c r="C716" s="115"/>
    </row>
    <row r="717" spans="3:3" customFormat="1" ht="15.75" customHeight="1" x14ac:dyDescent="0.2">
      <c r="C717" s="115"/>
    </row>
    <row r="718" spans="3:3" customFormat="1" ht="15.75" customHeight="1" x14ac:dyDescent="0.2">
      <c r="C718" s="115"/>
    </row>
    <row r="719" spans="3:3" customFormat="1" ht="15.75" customHeight="1" x14ac:dyDescent="0.2">
      <c r="C719" s="115"/>
    </row>
    <row r="720" spans="3:3" customFormat="1" ht="15.75" customHeight="1" x14ac:dyDescent="0.2">
      <c r="C720" s="115"/>
    </row>
    <row r="721" spans="3:3" customFormat="1" ht="15.75" customHeight="1" x14ac:dyDescent="0.2">
      <c r="C721" s="115"/>
    </row>
    <row r="722" spans="3:3" customFormat="1" ht="15.75" customHeight="1" x14ac:dyDescent="0.2">
      <c r="C722" s="115"/>
    </row>
    <row r="723" spans="3:3" customFormat="1" ht="15.75" customHeight="1" x14ac:dyDescent="0.2">
      <c r="C723" s="115"/>
    </row>
    <row r="724" spans="3:3" customFormat="1" ht="15.75" customHeight="1" x14ac:dyDescent="0.2">
      <c r="C724" s="115"/>
    </row>
    <row r="725" spans="3:3" customFormat="1" ht="15.75" customHeight="1" x14ac:dyDescent="0.2">
      <c r="C725" s="115"/>
    </row>
    <row r="726" spans="3:3" customFormat="1" ht="15.75" customHeight="1" x14ac:dyDescent="0.2">
      <c r="C726" s="115"/>
    </row>
    <row r="727" spans="3:3" customFormat="1" ht="15.75" customHeight="1" x14ac:dyDescent="0.2">
      <c r="C727" s="115"/>
    </row>
    <row r="728" spans="3:3" customFormat="1" ht="15.75" customHeight="1" x14ac:dyDescent="0.2">
      <c r="C728" s="115"/>
    </row>
    <row r="729" spans="3:3" customFormat="1" ht="15.75" customHeight="1" x14ac:dyDescent="0.2">
      <c r="C729" s="115"/>
    </row>
    <row r="730" spans="3:3" customFormat="1" ht="15.75" customHeight="1" x14ac:dyDescent="0.2">
      <c r="C730" s="115"/>
    </row>
    <row r="731" spans="3:3" customFormat="1" ht="15.75" customHeight="1" x14ac:dyDescent="0.2">
      <c r="C731" s="115"/>
    </row>
    <row r="732" spans="3:3" customFormat="1" ht="15.75" customHeight="1" x14ac:dyDescent="0.2">
      <c r="C732" s="115"/>
    </row>
    <row r="733" spans="3:3" customFormat="1" ht="15.75" customHeight="1" x14ac:dyDescent="0.2">
      <c r="C733" s="115"/>
    </row>
    <row r="734" spans="3:3" customFormat="1" ht="15.75" customHeight="1" x14ac:dyDescent="0.2">
      <c r="C734" s="115"/>
    </row>
    <row r="735" spans="3:3" customFormat="1" ht="15.75" customHeight="1" x14ac:dyDescent="0.2">
      <c r="C735" s="115"/>
    </row>
    <row r="736" spans="3:3" customFormat="1" ht="15.75" customHeight="1" x14ac:dyDescent="0.2">
      <c r="C736" s="115"/>
    </row>
    <row r="737" spans="3:3" customFormat="1" ht="15.75" customHeight="1" x14ac:dyDescent="0.2">
      <c r="C737" s="115"/>
    </row>
    <row r="738" spans="3:3" customFormat="1" ht="15.75" customHeight="1" x14ac:dyDescent="0.2">
      <c r="C738" s="115"/>
    </row>
    <row r="739" spans="3:3" customFormat="1" ht="15.75" customHeight="1" x14ac:dyDescent="0.2">
      <c r="C739" s="115"/>
    </row>
    <row r="740" spans="3:3" customFormat="1" ht="15.75" customHeight="1" x14ac:dyDescent="0.2">
      <c r="C740" s="115"/>
    </row>
    <row r="741" spans="3:3" customFormat="1" ht="15.75" customHeight="1" x14ac:dyDescent="0.2">
      <c r="C741" s="115"/>
    </row>
    <row r="742" spans="3:3" customFormat="1" ht="15.75" customHeight="1" x14ac:dyDescent="0.2">
      <c r="C742" s="115"/>
    </row>
    <row r="743" spans="3:3" customFormat="1" ht="15.75" customHeight="1" x14ac:dyDescent="0.2">
      <c r="C743" s="115"/>
    </row>
    <row r="744" spans="3:3" customFormat="1" ht="15.75" customHeight="1" x14ac:dyDescent="0.2">
      <c r="C744" s="115"/>
    </row>
    <row r="745" spans="3:3" customFormat="1" ht="15.75" customHeight="1" x14ac:dyDescent="0.2">
      <c r="C745" s="115"/>
    </row>
    <row r="746" spans="3:3" customFormat="1" ht="15.75" customHeight="1" x14ac:dyDescent="0.2">
      <c r="C746" s="115"/>
    </row>
    <row r="747" spans="3:3" customFormat="1" ht="15.75" customHeight="1" x14ac:dyDescent="0.2">
      <c r="C747" s="115"/>
    </row>
    <row r="748" spans="3:3" customFormat="1" ht="15.75" customHeight="1" x14ac:dyDescent="0.2">
      <c r="C748" s="115"/>
    </row>
    <row r="749" spans="3:3" customFormat="1" ht="15.75" customHeight="1" x14ac:dyDescent="0.2">
      <c r="C749" s="115"/>
    </row>
    <row r="750" spans="3:3" customFormat="1" ht="15.75" customHeight="1" x14ac:dyDescent="0.2">
      <c r="C750" s="115"/>
    </row>
    <row r="751" spans="3:3" customFormat="1" ht="15.75" customHeight="1" x14ac:dyDescent="0.2">
      <c r="C751" s="115"/>
    </row>
    <row r="752" spans="3:3" customFormat="1" ht="15.75" customHeight="1" x14ac:dyDescent="0.2">
      <c r="C752" s="115"/>
    </row>
    <row r="753" spans="3:3" customFormat="1" ht="15.75" customHeight="1" x14ac:dyDescent="0.2">
      <c r="C753" s="115"/>
    </row>
    <row r="754" spans="3:3" customFormat="1" ht="15.75" customHeight="1" x14ac:dyDescent="0.2">
      <c r="C754" s="115"/>
    </row>
    <row r="755" spans="3:3" customFormat="1" ht="15.75" customHeight="1" x14ac:dyDescent="0.2">
      <c r="C755" s="115"/>
    </row>
    <row r="756" spans="3:3" customFormat="1" ht="15.75" customHeight="1" x14ac:dyDescent="0.2">
      <c r="C756" s="115"/>
    </row>
    <row r="757" spans="3:3" customFormat="1" ht="15.75" customHeight="1" x14ac:dyDescent="0.2">
      <c r="C757" s="115"/>
    </row>
    <row r="758" spans="3:3" customFormat="1" ht="15.75" customHeight="1" x14ac:dyDescent="0.2">
      <c r="C758" s="115"/>
    </row>
    <row r="759" spans="3:3" customFormat="1" ht="15.75" customHeight="1" x14ac:dyDescent="0.2">
      <c r="C759" s="115"/>
    </row>
    <row r="760" spans="3:3" customFormat="1" ht="15.75" customHeight="1" x14ac:dyDescent="0.2">
      <c r="C760" s="115"/>
    </row>
    <row r="761" spans="3:3" customFormat="1" ht="15.75" customHeight="1" x14ac:dyDescent="0.2">
      <c r="C761" s="115"/>
    </row>
    <row r="762" spans="3:3" customFormat="1" ht="15.75" customHeight="1" x14ac:dyDescent="0.2">
      <c r="C762" s="115"/>
    </row>
    <row r="763" spans="3:3" customFormat="1" ht="15.75" customHeight="1" x14ac:dyDescent="0.2">
      <c r="C763" s="115"/>
    </row>
    <row r="764" spans="3:3" customFormat="1" ht="15.75" customHeight="1" x14ac:dyDescent="0.2">
      <c r="C764" s="115"/>
    </row>
    <row r="765" spans="3:3" customFormat="1" ht="15.75" customHeight="1" x14ac:dyDescent="0.2">
      <c r="C765" s="115"/>
    </row>
    <row r="766" spans="3:3" customFormat="1" ht="15.75" customHeight="1" x14ac:dyDescent="0.2">
      <c r="C766" s="115"/>
    </row>
    <row r="767" spans="3:3" customFormat="1" ht="15.75" customHeight="1" x14ac:dyDescent="0.2">
      <c r="C767" s="115"/>
    </row>
    <row r="768" spans="3:3" customFormat="1" ht="15.75" customHeight="1" x14ac:dyDescent="0.2">
      <c r="C768" s="115"/>
    </row>
    <row r="769" spans="3:3" customFormat="1" ht="15.75" customHeight="1" x14ac:dyDescent="0.2">
      <c r="C769" s="115"/>
    </row>
    <row r="770" spans="3:3" customFormat="1" ht="15.75" customHeight="1" x14ac:dyDescent="0.2">
      <c r="C770" s="115"/>
    </row>
    <row r="771" spans="3:3" customFormat="1" ht="15.75" customHeight="1" x14ac:dyDescent="0.2">
      <c r="C771" s="115"/>
    </row>
    <row r="772" spans="3:3" customFormat="1" ht="15.75" customHeight="1" x14ac:dyDescent="0.2">
      <c r="C772" s="115"/>
    </row>
    <row r="773" spans="3:3" customFormat="1" ht="15.75" customHeight="1" x14ac:dyDescent="0.2">
      <c r="C773" s="115"/>
    </row>
    <row r="774" spans="3:3" customFormat="1" ht="15.75" customHeight="1" x14ac:dyDescent="0.2">
      <c r="C774" s="115"/>
    </row>
    <row r="775" spans="3:3" customFormat="1" ht="15.75" customHeight="1" x14ac:dyDescent="0.2">
      <c r="C775" s="115"/>
    </row>
    <row r="776" spans="3:3" customFormat="1" ht="15.75" customHeight="1" x14ac:dyDescent="0.2">
      <c r="C776" s="115"/>
    </row>
    <row r="777" spans="3:3" customFormat="1" ht="15.75" customHeight="1" x14ac:dyDescent="0.2">
      <c r="C777" s="115"/>
    </row>
    <row r="778" spans="3:3" customFormat="1" ht="15.75" customHeight="1" x14ac:dyDescent="0.2">
      <c r="C778" s="115"/>
    </row>
    <row r="779" spans="3:3" customFormat="1" ht="15.75" customHeight="1" x14ac:dyDescent="0.2">
      <c r="C779" s="115"/>
    </row>
    <row r="780" spans="3:3" customFormat="1" ht="15.75" customHeight="1" x14ac:dyDescent="0.2">
      <c r="C780" s="115"/>
    </row>
    <row r="781" spans="3:3" customFormat="1" ht="15.75" customHeight="1" x14ac:dyDescent="0.2">
      <c r="C781" s="115"/>
    </row>
    <row r="782" spans="3:3" customFormat="1" ht="15.75" customHeight="1" x14ac:dyDescent="0.2">
      <c r="C782" s="115"/>
    </row>
    <row r="783" spans="3:3" customFormat="1" ht="15.75" customHeight="1" x14ac:dyDescent="0.2">
      <c r="C783" s="115"/>
    </row>
    <row r="784" spans="3:3" customFormat="1" ht="15.75" customHeight="1" x14ac:dyDescent="0.2">
      <c r="C784" s="115"/>
    </row>
    <row r="785" spans="3:3" customFormat="1" ht="15.75" customHeight="1" x14ac:dyDescent="0.2">
      <c r="C785" s="115"/>
    </row>
    <row r="786" spans="3:3" customFormat="1" ht="15.75" customHeight="1" x14ac:dyDescent="0.2">
      <c r="C786" s="115"/>
    </row>
    <row r="787" spans="3:3" customFormat="1" ht="15.75" customHeight="1" x14ac:dyDescent="0.2">
      <c r="C787" s="115"/>
    </row>
    <row r="788" spans="3:3" customFormat="1" ht="15.75" customHeight="1" x14ac:dyDescent="0.2">
      <c r="C788" s="115"/>
    </row>
    <row r="789" spans="3:3" customFormat="1" ht="15.75" customHeight="1" x14ac:dyDescent="0.2">
      <c r="C789" s="115"/>
    </row>
    <row r="790" spans="3:3" customFormat="1" ht="15.75" customHeight="1" x14ac:dyDescent="0.2">
      <c r="C790" s="115"/>
    </row>
    <row r="791" spans="3:3" customFormat="1" ht="15.75" customHeight="1" x14ac:dyDescent="0.2">
      <c r="C791" s="115"/>
    </row>
    <row r="792" spans="3:3" customFormat="1" ht="15.75" customHeight="1" x14ac:dyDescent="0.2">
      <c r="C792" s="115"/>
    </row>
    <row r="793" spans="3:3" customFormat="1" ht="15.75" customHeight="1" x14ac:dyDescent="0.2">
      <c r="C793" s="115"/>
    </row>
    <row r="794" spans="3:3" customFormat="1" ht="15.75" customHeight="1" x14ac:dyDescent="0.2">
      <c r="C794" s="115"/>
    </row>
    <row r="795" spans="3:3" customFormat="1" ht="15.75" customHeight="1" x14ac:dyDescent="0.2">
      <c r="C795" s="115"/>
    </row>
    <row r="796" spans="3:3" customFormat="1" ht="15.75" customHeight="1" x14ac:dyDescent="0.2">
      <c r="C796" s="115"/>
    </row>
    <row r="797" spans="3:3" customFormat="1" ht="15.75" customHeight="1" x14ac:dyDescent="0.2">
      <c r="C797" s="115"/>
    </row>
    <row r="798" spans="3:3" customFormat="1" ht="15.75" customHeight="1" x14ac:dyDescent="0.2">
      <c r="C798" s="115"/>
    </row>
    <row r="799" spans="3:3" customFormat="1" ht="15.75" customHeight="1" x14ac:dyDescent="0.2">
      <c r="C799" s="115"/>
    </row>
    <row r="800" spans="3:3" customFormat="1" ht="15.75" customHeight="1" x14ac:dyDescent="0.2">
      <c r="C800" s="115"/>
    </row>
    <row r="801" spans="3:3" customFormat="1" ht="15.75" customHeight="1" x14ac:dyDescent="0.2">
      <c r="C801" s="115"/>
    </row>
    <row r="802" spans="3:3" customFormat="1" ht="15.75" customHeight="1" x14ac:dyDescent="0.2">
      <c r="C802" s="115"/>
    </row>
    <row r="803" spans="3:3" customFormat="1" ht="15.75" customHeight="1" x14ac:dyDescent="0.2">
      <c r="C803" s="115"/>
    </row>
    <row r="804" spans="3:3" customFormat="1" ht="15.75" customHeight="1" x14ac:dyDescent="0.2">
      <c r="C804" s="115"/>
    </row>
    <row r="805" spans="3:3" customFormat="1" ht="15.75" customHeight="1" x14ac:dyDescent="0.2">
      <c r="C805" s="115"/>
    </row>
    <row r="806" spans="3:3" customFormat="1" ht="15.75" customHeight="1" x14ac:dyDescent="0.2">
      <c r="C806" s="115"/>
    </row>
    <row r="807" spans="3:3" customFormat="1" ht="15.75" customHeight="1" x14ac:dyDescent="0.2">
      <c r="C807" s="115"/>
    </row>
    <row r="808" spans="3:3" customFormat="1" ht="15.75" customHeight="1" x14ac:dyDescent="0.2">
      <c r="C808" s="115"/>
    </row>
    <row r="809" spans="3:3" customFormat="1" ht="15.75" customHeight="1" x14ac:dyDescent="0.2">
      <c r="C809" s="115"/>
    </row>
    <row r="810" spans="3:3" customFormat="1" ht="15.75" customHeight="1" x14ac:dyDescent="0.2">
      <c r="C810" s="115"/>
    </row>
    <row r="811" spans="3:3" customFormat="1" ht="15.75" customHeight="1" x14ac:dyDescent="0.2">
      <c r="C811" s="115"/>
    </row>
    <row r="812" spans="3:3" customFormat="1" ht="15.75" customHeight="1" x14ac:dyDescent="0.2">
      <c r="C812" s="115"/>
    </row>
    <row r="813" spans="3:3" customFormat="1" ht="15.75" customHeight="1" x14ac:dyDescent="0.2">
      <c r="C813" s="115"/>
    </row>
    <row r="814" spans="3:3" customFormat="1" ht="15.75" customHeight="1" x14ac:dyDescent="0.2">
      <c r="C814" s="115"/>
    </row>
    <row r="815" spans="3:3" customFormat="1" ht="15.75" customHeight="1" x14ac:dyDescent="0.2">
      <c r="C815" s="115"/>
    </row>
    <row r="816" spans="3:3" customFormat="1" ht="15.75" customHeight="1" x14ac:dyDescent="0.2">
      <c r="C816" s="115"/>
    </row>
    <row r="817" spans="3:3" customFormat="1" ht="15.75" customHeight="1" x14ac:dyDescent="0.2">
      <c r="C817" s="115"/>
    </row>
    <row r="818" spans="3:3" customFormat="1" ht="15.75" customHeight="1" x14ac:dyDescent="0.2">
      <c r="C818" s="115"/>
    </row>
    <row r="819" spans="3:3" customFormat="1" ht="15.75" customHeight="1" x14ac:dyDescent="0.2">
      <c r="C819" s="115"/>
    </row>
    <row r="820" spans="3:3" customFormat="1" ht="15.75" customHeight="1" x14ac:dyDescent="0.2">
      <c r="C820" s="115"/>
    </row>
    <row r="821" spans="3:3" customFormat="1" ht="15.75" customHeight="1" x14ac:dyDescent="0.2">
      <c r="C821" s="115"/>
    </row>
    <row r="822" spans="3:3" customFormat="1" ht="15.75" customHeight="1" x14ac:dyDescent="0.2">
      <c r="C822" s="115"/>
    </row>
    <row r="823" spans="3:3" customFormat="1" ht="15.75" customHeight="1" x14ac:dyDescent="0.2">
      <c r="C823" s="115"/>
    </row>
    <row r="824" spans="3:3" customFormat="1" ht="15.75" customHeight="1" x14ac:dyDescent="0.2">
      <c r="C824" s="115"/>
    </row>
    <row r="825" spans="3:3" customFormat="1" ht="15.75" customHeight="1" x14ac:dyDescent="0.2">
      <c r="C825" s="115"/>
    </row>
    <row r="826" spans="3:3" customFormat="1" ht="15.75" customHeight="1" x14ac:dyDescent="0.2">
      <c r="C826" s="115"/>
    </row>
    <row r="827" spans="3:3" customFormat="1" ht="15.75" customHeight="1" x14ac:dyDescent="0.2">
      <c r="C827" s="115"/>
    </row>
    <row r="828" spans="3:3" customFormat="1" ht="15.75" customHeight="1" x14ac:dyDescent="0.2">
      <c r="C828" s="115"/>
    </row>
    <row r="829" spans="3:3" customFormat="1" ht="15.75" customHeight="1" x14ac:dyDescent="0.2">
      <c r="C829" s="115"/>
    </row>
    <row r="830" spans="3:3" customFormat="1" ht="15.75" customHeight="1" x14ac:dyDescent="0.2">
      <c r="C830" s="115"/>
    </row>
    <row r="831" spans="3:3" customFormat="1" ht="15.75" customHeight="1" x14ac:dyDescent="0.2">
      <c r="C831" s="115"/>
    </row>
    <row r="832" spans="3:3" customFormat="1" ht="15.75" customHeight="1" x14ac:dyDescent="0.2">
      <c r="C832" s="115"/>
    </row>
    <row r="833" spans="3:3" customFormat="1" ht="15.75" customHeight="1" x14ac:dyDescent="0.2">
      <c r="C833" s="115"/>
    </row>
    <row r="834" spans="3:3" customFormat="1" ht="15.75" customHeight="1" x14ac:dyDescent="0.2">
      <c r="C834" s="115"/>
    </row>
    <row r="835" spans="3:3" customFormat="1" ht="15.75" customHeight="1" x14ac:dyDescent="0.2">
      <c r="C835" s="115"/>
    </row>
    <row r="836" spans="3:3" customFormat="1" ht="15.75" customHeight="1" x14ac:dyDescent="0.2">
      <c r="C836" s="115"/>
    </row>
    <row r="837" spans="3:3" customFormat="1" ht="15.75" customHeight="1" x14ac:dyDescent="0.2">
      <c r="C837" s="115"/>
    </row>
    <row r="838" spans="3:3" customFormat="1" ht="15.75" customHeight="1" x14ac:dyDescent="0.2">
      <c r="C838" s="115"/>
    </row>
    <row r="839" spans="3:3" customFormat="1" ht="15.75" customHeight="1" x14ac:dyDescent="0.2">
      <c r="C839" s="115"/>
    </row>
    <row r="840" spans="3:3" customFormat="1" ht="15.75" customHeight="1" x14ac:dyDescent="0.2">
      <c r="C840" s="115"/>
    </row>
    <row r="841" spans="3:3" customFormat="1" ht="15.75" customHeight="1" x14ac:dyDescent="0.2">
      <c r="C841" s="115"/>
    </row>
    <row r="842" spans="3:3" customFormat="1" ht="15.75" customHeight="1" x14ac:dyDescent="0.2">
      <c r="C842" s="115"/>
    </row>
    <row r="843" spans="3:3" customFormat="1" ht="15.75" customHeight="1" x14ac:dyDescent="0.2">
      <c r="C843" s="115"/>
    </row>
    <row r="844" spans="3:3" customFormat="1" ht="15.75" customHeight="1" x14ac:dyDescent="0.2">
      <c r="C844" s="115"/>
    </row>
    <row r="845" spans="3:3" customFormat="1" ht="15.75" customHeight="1" x14ac:dyDescent="0.2">
      <c r="C845" s="115"/>
    </row>
    <row r="846" spans="3:3" customFormat="1" ht="15.75" customHeight="1" x14ac:dyDescent="0.2">
      <c r="C846" s="115"/>
    </row>
    <row r="847" spans="3:3" customFormat="1" ht="15.75" customHeight="1" x14ac:dyDescent="0.2">
      <c r="C847" s="115"/>
    </row>
    <row r="848" spans="3:3" customFormat="1" ht="15.75" customHeight="1" x14ac:dyDescent="0.2">
      <c r="C848" s="115"/>
    </row>
    <row r="849" spans="3:3" customFormat="1" ht="15.75" customHeight="1" x14ac:dyDescent="0.2">
      <c r="C849" s="115"/>
    </row>
    <row r="850" spans="3:3" customFormat="1" ht="15.75" customHeight="1" x14ac:dyDescent="0.2">
      <c r="C850" s="115"/>
    </row>
    <row r="851" spans="3:3" customFormat="1" ht="15.75" customHeight="1" x14ac:dyDescent="0.2">
      <c r="C851" s="115"/>
    </row>
    <row r="852" spans="3:3" customFormat="1" ht="15.75" customHeight="1" x14ac:dyDescent="0.2">
      <c r="C852" s="115"/>
    </row>
    <row r="853" spans="3:3" customFormat="1" ht="15.75" customHeight="1" x14ac:dyDescent="0.2">
      <c r="C853" s="115"/>
    </row>
    <row r="854" spans="3:3" customFormat="1" ht="15.75" customHeight="1" x14ac:dyDescent="0.2">
      <c r="C854" s="115"/>
    </row>
    <row r="855" spans="3:3" customFormat="1" ht="15.75" customHeight="1" x14ac:dyDescent="0.2">
      <c r="C855" s="115"/>
    </row>
    <row r="856" spans="3:3" customFormat="1" ht="15.75" customHeight="1" x14ac:dyDescent="0.2">
      <c r="C856" s="115"/>
    </row>
    <row r="857" spans="3:3" customFormat="1" ht="15.75" customHeight="1" x14ac:dyDescent="0.2">
      <c r="C857" s="115"/>
    </row>
    <row r="858" spans="3:3" customFormat="1" ht="15.75" customHeight="1" x14ac:dyDescent="0.2">
      <c r="C858" s="115"/>
    </row>
    <row r="859" spans="3:3" customFormat="1" ht="15.75" customHeight="1" x14ac:dyDescent="0.2">
      <c r="C859" s="115"/>
    </row>
    <row r="860" spans="3:3" customFormat="1" ht="15.75" customHeight="1" x14ac:dyDescent="0.2">
      <c r="C860" s="115"/>
    </row>
    <row r="861" spans="3:3" customFormat="1" ht="15.75" customHeight="1" x14ac:dyDescent="0.2">
      <c r="C861" s="115"/>
    </row>
    <row r="862" spans="3:3" customFormat="1" ht="15.75" customHeight="1" x14ac:dyDescent="0.2">
      <c r="C862" s="115"/>
    </row>
    <row r="863" spans="3:3" customFormat="1" ht="15.75" customHeight="1" x14ac:dyDescent="0.2">
      <c r="C863" s="115"/>
    </row>
    <row r="864" spans="3:3" customFormat="1" ht="15.75" customHeight="1" x14ac:dyDescent="0.2">
      <c r="C864" s="115"/>
    </row>
    <row r="865" spans="3:3" customFormat="1" ht="15.75" customHeight="1" x14ac:dyDescent="0.2">
      <c r="C865" s="115"/>
    </row>
    <row r="866" spans="3:3" customFormat="1" ht="15.75" customHeight="1" x14ac:dyDescent="0.2">
      <c r="C866" s="115"/>
    </row>
    <row r="867" spans="3:3" customFormat="1" ht="15.75" customHeight="1" x14ac:dyDescent="0.2">
      <c r="C867" s="115"/>
    </row>
    <row r="868" spans="3:3" customFormat="1" ht="15.75" customHeight="1" x14ac:dyDescent="0.2">
      <c r="C868" s="115"/>
    </row>
    <row r="869" spans="3:3" customFormat="1" ht="15.75" customHeight="1" x14ac:dyDescent="0.2">
      <c r="C869" s="115"/>
    </row>
    <row r="870" spans="3:3" customFormat="1" ht="15.75" customHeight="1" x14ac:dyDescent="0.2">
      <c r="C870" s="115"/>
    </row>
    <row r="871" spans="3:3" customFormat="1" ht="15.75" customHeight="1" x14ac:dyDescent="0.2">
      <c r="C871" s="115"/>
    </row>
    <row r="872" spans="3:3" customFormat="1" ht="15.75" customHeight="1" x14ac:dyDescent="0.2">
      <c r="C872" s="115"/>
    </row>
    <row r="873" spans="3:3" customFormat="1" ht="15.75" customHeight="1" x14ac:dyDescent="0.2">
      <c r="C873" s="115"/>
    </row>
    <row r="874" spans="3:3" customFormat="1" ht="15.75" customHeight="1" x14ac:dyDescent="0.2">
      <c r="C874" s="115"/>
    </row>
    <row r="875" spans="3:3" customFormat="1" ht="15.75" customHeight="1" x14ac:dyDescent="0.2">
      <c r="C875" s="115"/>
    </row>
    <row r="876" spans="3:3" customFormat="1" ht="15.75" customHeight="1" x14ac:dyDescent="0.2">
      <c r="C876" s="115"/>
    </row>
    <row r="877" spans="3:3" customFormat="1" ht="15.75" customHeight="1" x14ac:dyDescent="0.2">
      <c r="C877" s="115"/>
    </row>
    <row r="878" spans="3:3" customFormat="1" ht="15.75" customHeight="1" x14ac:dyDescent="0.2">
      <c r="C878" s="115"/>
    </row>
    <row r="879" spans="3:3" customFormat="1" ht="15.75" customHeight="1" x14ac:dyDescent="0.2">
      <c r="C879" s="115"/>
    </row>
    <row r="880" spans="3:3" customFormat="1" ht="15.75" customHeight="1" x14ac:dyDescent="0.2">
      <c r="C880" s="115"/>
    </row>
    <row r="881" spans="3:3" customFormat="1" ht="15.75" customHeight="1" x14ac:dyDescent="0.2">
      <c r="C881" s="115"/>
    </row>
    <row r="882" spans="3:3" customFormat="1" ht="15.75" customHeight="1" x14ac:dyDescent="0.2">
      <c r="C882" s="115"/>
    </row>
    <row r="883" spans="3:3" customFormat="1" ht="15.75" customHeight="1" x14ac:dyDescent="0.2">
      <c r="C883" s="115"/>
    </row>
    <row r="884" spans="3:3" customFormat="1" ht="15.75" customHeight="1" x14ac:dyDescent="0.2">
      <c r="C884" s="115"/>
    </row>
    <row r="885" spans="3:3" customFormat="1" ht="15.75" customHeight="1" x14ac:dyDescent="0.2">
      <c r="C885" s="115"/>
    </row>
    <row r="886" spans="3:3" customFormat="1" ht="15.75" customHeight="1" x14ac:dyDescent="0.2">
      <c r="C886" s="115"/>
    </row>
    <row r="887" spans="3:3" customFormat="1" ht="15.75" customHeight="1" x14ac:dyDescent="0.2">
      <c r="C887" s="115"/>
    </row>
    <row r="888" spans="3:3" customFormat="1" ht="15.75" customHeight="1" x14ac:dyDescent="0.2">
      <c r="C888" s="115"/>
    </row>
    <row r="889" spans="3:3" customFormat="1" ht="15.75" customHeight="1" x14ac:dyDescent="0.2">
      <c r="C889" s="115"/>
    </row>
    <row r="890" spans="3:3" customFormat="1" ht="15.75" customHeight="1" x14ac:dyDescent="0.2">
      <c r="C890" s="115"/>
    </row>
    <row r="891" spans="3:3" customFormat="1" ht="15.75" customHeight="1" x14ac:dyDescent="0.2">
      <c r="C891" s="115"/>
    </row>
    <row r="892" spans="3:3" customFormat="1" ht="15.75" customHeight="1" x14ac:dyDescent="0.2">
      <c r="C892" s="115"/>
    </row>
    <row r="893" spans="3:3" customFormat="1" ht="15.75" customHeight="1" x14ac:dyDescent="0.2">
      <c r="C893" s="115"/>
    </row>
    <row r="894" spans="3:3" customFormat="1" ht="15.75" customHeight="1" x14ac:dyDescent="0.2">
      <c r="C894" s="115"/>
    </row>
    <row r="895" spans="3:3" customFormat="1" ht="15.75" customHeight="1" x14ac:dyDescent="0.2">
      <c r="C895" s="115"/>
    </row>
    <row r="896" spans="3:3" customFormat="1" ht="15.75" customHeight="1" x14ac:dyDescent="0.2">
      <c r="C896" s="115"/>
    </row>
    <row r="897" spans="3:3" customFormat="1" ht="15.75" customHeight="1" x14ac:dyDescent="0.2">
      <c r="C897" s="115"/>
    </row>
    <row r="898" spans="3:3" customFormat="1" ht="15.75" customHeight="1" x14ac:dyDescent="0.2">
      <c r="C898" s="115"/>
    </row>
    <row r="899" spans="3:3" customFormat="1" ht="15.75" customHeight="1" x14ac:dyDescent="0.2">
      <c r="C899" s="115"/>
    </row>
    <row r="900" spans="3:3" customFormat="1" ht="15.75" customHeight="1" x14ac:dyDescent="0.2">
      <c r="C900" s="115"/>
    </row>
    <row r="901" spans="3:3" customFormat="1" ht="15.75" customHeight="1" x14ac:dyDescent="0.2">
      <c r="C901" s="115"/>
    </row>
    <row r="902" spans="3:3" customFormat="1" ht="15.75" customHeight="1" x14ac:dyDescent="0.2">
      <c r="C902" s="115"/>
    </row>
    <row r="903" spans="3:3" customFormat="1" ht="15.75" customHeight="1" x14ac:dyDescent="0.2">
      <c r="C903" s="115"/>
    </row>
    <row r="904" spans="3:3" customFormat="1" ht="15.75" customHeight="1" x14ac:dyDescent="0.2">
      <c r="C904" s="115"/>
    </row>
    <row r="905" spans="3:3" customFormat="1" ht="15.75" customHeight="1" x14ac:dyDescent="0.2">
      <c r="C905" s="115"/>
    </row>
    <row r="906" spans="3:3" customFormat="1" ht="15.75" customHeight="1" x14ac:dyDescent="0.2">
      <c r="C906" s="115"/>
    </row>
    <row r="907" spans="3:3" customFormat="1" ht="15.75" customHeight="1" x14ac:dyDescent="0.2">
      <c r="C907" s="115"/>
    </row>
    <row r="908" spans="3:3" customFormat="1" ht="15.75" customHeight="1" x14ac:dyDescent="0.2">
      <c r="C908" s="115"/>
    </row>
    <row r="909" spans="3:3" customFormat="1" ht="15.75" customHeight="1" x14ac:dyDescent="0.2">
      <c r="C909" s="115"/>
    </row>
    <row r="910" spans="3:3" customFormat="1" ht="15.75" customHeight="1" x14ac:dyDescent="0.2">
      <c r="C910" s="115"/>
    </row>
    <row r="911" spans="3:3" customFormat="1" ht="15.75" customHeight="1" x14ac:dyDescent="0.2">
      <c r="C911" s="115"/>
    </row>
    <row r="912" spans="3:3" customFormat="1" ht="15.75" customHeight="1" x14ac:dyDescent="0.2">
      <c r="C912" s="115"/>
    </row>
    <row r="913" spans="3:3" customFormat="1" ht="15.75" customHeight="1" x14ac:dyDescent="0.2">
      <c r="C913" s="115"/>
    </row>
    <row r="914" spans="3:3" customFormat="1" ht="15.75" customHeight="1" x14ac:dyDescent="0.2">
      <c r="C914" s="115"/>
    </row>
    <row r="915" spans="3:3" customFormat="1" ht="15.75" customHeight="1" x14ac:dyDescent="0.2">
      <c r="C915" s="115"/>
    </row>
    <row r="916" spans="3:3" customFormat="1" ht="15.75" customHeight="1" x14ac:dyDescent="0.2">
      <c r="C916" s="115"/>
    </row>
    <row r="917" spans="3:3" customFormat="1" ht="15.75" customHeight="1" x14ac:dyDescent="0.2">
      <c r="C917" s="115"/>
    </row>
    <row r="918" spans="3:3" customFormat="1" ht="15.75" customHeight="1" x14ac:dyDescent="0.2">
      <c r="C918" s="115"/>
    </row>
    <row r="919" spans="3:3" customFormat="1" ht="15.75" customHeight="1" x14ac:dyDescent="0.2">
      <c r="C919" s="115"/>
    </row>
    <row r="920" spans="3:3" customFormat="1" ht="15.75" customHeight="1" x14ac:dyDescent="0.2">
      <c r="C920" s="115"/>
    </row>
    <row r="921" spans="3:3" customFormat="1" ht="15.75" customHeight="1" x14ac:dyDescent="0.2">
      <c r="C921" s="115"/>
    </row>
    <row r="922" spans="3:3" customFormat="1" ht="15.75" customHeight="1" x14ac:dyDescent="0.2">
      <c r="C922" s="115"/>
    </row>
    <row r="923" spans="3:3" customFormat="1" ht="15.75" customHeight="1" x14ac:dyDescent="0.2">
      <c r="C923" s="115"/>
    </row>
    <row r="924" spans="3:3" customFormat="1" ht="15.75" customHeight="1" x14ac:dyDescent="0.2">
      <c r="C924" s="115"/>
    </row>
    <row r="925" spans="3:3" customFormat="1" ht="15.75" customHeight="1" x14ac:dyDescent="0.2">
      <c r="C925" s="115"/>
    </row>
    <row r="926" spans="3:3" customFormat="1" ht="15.75" customHeight="1" x14ac:dyDescent="0.2">
      <c r="C926" s="115"/>
    </row>
    <row r="927" spans="3:3" customFormat="1" ht="15.75" customHeight="1" x14ac:dyDescent="0.2">
      <c r="C927" s="115"/>
    </row>
    <row r="928" spans="3:3" customFormat="1" ht="15.75" customHeight="1" x14ac:dyDescent="0.2">
      <c r="C928" s="115"/>
    </row>
    <row r="929" spans="3:3" customFormat="1" ht="15.75" customHeight="1" x14ac:dyDescent="0.2">
      <c r="C929" s="115"/>
    </row>
    <row r="930" spans="3:3" customFormat="1" ht="15.75" customHeight="1" x14ac:dyDescent="0.2">
      <c r="C930" s="115"/>
    </row>
    <row r="931" spans="3:3" customFormat="1" ht="15.75" customHeight="1" x14ac:dyDescent="0.2">
      <c r="C931" s="115"/>
    </row>
    <row r="932" spans="3:3" customFormat="1" ht="15.75" customHeight="1" x14ac:dyDescent="0.2">
      <c r="C932" s="115"/>
    </row>
    <row r="933" spans="3:3" customFormat="1" ht="15.75" customHeight="1" x14ac:dyDescent="0.2">
      <c r="C933" s="115"/>
    </row>
    <row r="934" spans="3:3" customFormat="1" ht="15.75" customHeight="1" x14ac:dyDescent="0.2">
      <c r="C934" s="115"/>
    </row>
    <row r="935" spans="3:3" customFormat="1" ht="15.75" customHeight="1" x14ac:dyDescent="0.2">
      <c r="C935" s="115"/>
    </row>
    <row r="936" spans="3:3" customFormat="1" ht="15.75" customHeight="1" x14ac:dyDescent="0.2">
      <c r="C936" s="115"/>
    </row>
    <row r="937" spans="3:3" customFormat="1" ht="15.75" customHeight="1" x14ac:dyDescent="0.2">
      <c r="C937" s="115"/>
    </row>
    <row r="938" spans="3:3" customFormat="1" ht="15.75" customHeight="1" x14ac:dyDescent="0.2">
      <c r="C938" s="115"/>
    </row>
    <row r="939" spans="3:3" customFormat="1" ht="15.75" customHeight="1" x14ac:dyDescent="0.2">
      <c r="C939" s="115"/>
    </row>
    <row r="940" spans="3:3" customFormat="1" ht="15.75" customHeight="1" x14ac:dyDescent="0.2">
      <c r="C940" s="115"/>
    </row>
    <row r="941" spans="3:3" customFormat="1" ht="15.75" customHeight="1" x14ac:dyDescent="0.2">
      <c r="C941" s="115"/>
    </row>
    <row r="942" spans="3:3" customFormat="1" ht="15.75" customHeight="1" x14ac:dyDescent="0.2">
      <c r="C942" s="115"/>
    </row>
    <row r="943" spans="3:3" customFormat="1" ht="15.75" customHeight="1" x14ac:dyDescent="0.2">
      <c r="C943" s="115"/>
    </row>
    <row r="944" spans="3:3" customFormat="1" ht="15.75" customHeight="1" x14ac:dyDescent="0.2">
      <c r="C944" s="115"/>
    </row>
    <row r="945" spans="3:3" customFormat="1" ht="15.75" customHeight="1" x14ac:dyDescent="0.2">
      <c r="C945" s="115"/>
    </row>
    <row r="946" spans="3:3" customFormat="1" ht="15.75" customHeight="1" x14ac:dyDescent="0.2">
      <c r="C946" s="115"/>
    </row>
    <row r="947" spans="3:3" customFormat="1" ht="15.75" customHeight="1" x14ac:dyDescent="0.2">
      <c r="C947" s="115"/>
    </row>
    <row r="948" spans="3:3" customFormat="1" ht="15.75" customHeight="1" x14ac:dyDescent="0.2">
      <c r="C948" s="115"/>
    </row>
    <row r="949" spans="3:3" customFormat="1" ht="15.75" customHeight="1" x14ac:dyDescent="0.2">
      <c r="C949" s="115"/>
    </row>
    <row r="950" spans="3:3" customFormat="1" ht="15.75" customHeight="1" x14ac:dyDescent="0.2">
      <c r="C950" s="115"/>
    </row>
    <row r="951" spans="3:3" customFormat="1" ht="15.75" customHeight="1" x14ac:dyDescent="0.2">
      <c r="C951" s="115"/>
    </row>
    <row r="952" spans="3:3" customFormat="1" ht="15.75" customHeight="1" x14ac:dyDescent="0.2">
      <c r="C952" s="115"/>
    </row>
    <row r="953" spans="3:3" customFormat="1" ht="15.75" customHeight="1" x14ac:dyDescent="0.2">
      <c r="C953" s="115"/>
    </row>
    <row r="954" spans="3:3" customFormat="1" ht="15.75" customHeight="1" x14ac:dyDescent="0.2">
      <c r="C954" s="115"/>
    </row>
    <row r="955" spans="3:3" customFormat="1" ht="15.75" customHeight="1" x14ac:dyDescent="0.2">
      <c r="C955" s="115"/>
    </row>
    <row r="956" spans="3:3" customFormat="1" ht="15.75" customHeight="1" x14ac:dyDescent="0.2">
      <c r="C956" s="115"/>
    </row>
    <row r="957" spans="3:3" customFormat="1" ht="15.75" customHeight="1" x14ac:dyDescent="0.2">
      <c r="C957" s="115"/>
    </row>
    <row r="958" spans="3:3" customFormat="1" ht="15.75" customHeight="1" x14ac:dyDescent="0.2">
      <c r="C958" s="115"/>
    </row>
    <row r="959" spans="3:3" customFormat="1" ht="15.75" customHeight="1" x14ac:dyDescent="0.2">
      <c r="C959" s="115"/>
    </row>
    <row r="960" spans="3:3" customFormat="1" ht="15.75" customHeight="1" x14ac:dyDescent="0.2">
      <c r="C960" s="115"/>
    </row>
    <row r="961" spans="3:3" customFormat="1" ht="15.75" customHeight="1" x14ac:dyDescent="0.2">
      <c r="C961" s="115"/>
    </row>
    <row r="962" spans="3:3" customFormat="1" ht="15.75" customHeight="1" x14ac:dyDescent="0.2">
      <c r="C962" s="115"/>
    </row>
    <row r="963" spans="3:3" customFormat="1" ht="15.75" customHeight="1" x14ac:dyDescent="0.2">
      <c r="C963" s="115"/>
    </row>
    <row r="964" spans="3:3" customFormat="1" ht="15.75" customHeight="1" x14ac:dyDescent="0.2">
      <c r="C964" s="115"/>
    </row>
    <row r="965" spans="3:3" customFormat="1" ht="15.75" customHeight="1" x14ac:dyDescent="0.2">
      <c r="C965" s="115"/>
    </row>
    <row r="966" spans="3:3" customFormat="1" ht="15.75" customHeight="1" x14ac:dyDescent="0.2">
      <c r="C966" s="115"/>
    </row>
    <row r="967" spans="3:3" customFormat="1" ht="15.75" customHeight="1" x14ac:dyDescent="0.2">
      <c r="C967" s="115"/>
    </row>
    <row r="968" spans="3:3" customFormat="1" ht="15.75" customHeight="1" x14ac:dyDescent="0.2">
      <c r="C968" s="115"/>
    </row>
    <row r="969" spans="3:3" customFormat="1" ht="15.75" customHeight="1" x14ac:dyDescent="0.2">
      <c r="C969" s="115"/>
    </row>
    <row r="970" spans="3:3" customFormat="1" ht="15.75" customHeight="1" x14ac:dyDescent="0.2">
      <c r="C970" s="115"/>
    </row>
    <row r="971" spans="3:3" customFormat="1" ht="15.75" customHeight="1" x14ac:dyDescent="0.2">
      <c r="C971" s="115"/>
    </row>
    <row r="972" spans="3:3" customFormat="1" ht="15.75" customHeight="1" x14ac:dyDescent="0.2">
      <c r="C972" s="115"/>
    </row>
    <row r="973" spans="3:3" customFormat="1" ht="15.75" customHeight="1" x14ac:dyDescent="0.2">
      <c r="C973" s="115"/>
    </row>
    <row r="974" spans="3:3" customFormat="1" ht="15.75" customHeight="1" x14ac:dyDescent="0.2">
      <c r="C974" s="115"/>
    </row>
    <row r="975" spans="3:3" customFormat="1" ht="15.75" customHeight="1" x14ac:dyDescent="0.2">
      <c r="C975" s="115"/>
    </row>
    <row r="976" spans="3:3" customFormat="1" ht="15.75" customHeight="1" x14ac:dyDescent="0.2">
      <c r="C976" s="115"/>
    </row>
    <row r="977" spans="3:3" customFormat="1" ht="15.75" customHeight="1" x14ac:dyDescent="0.2">
      <c r="C977" s="11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8" workbookViewId="0">
      <selection activeCell="A2" sqref="A2 A2:F2"/>
    </sheetView>
  </sheetViews>
  <sheetFormatPr defaultColWidth="14.42578125" defaultRowHeight="15" customHeight="1" x14ac:dyDescent="0.2"/>
  <cols>
    <col min="1" max="1" width="13.28515625" style="93" customWidth="1"/>
    <col min="2" max="2" width="60.7109375" style="111" customWidth="1"/>
    <col min="3" max="3" width="12.7109375" style="93"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55" t="s">
        <v>48</v>
      </c>
      <c r="B1" s="157" t="s">
        <v>49</v>
      </c>
      <c r="C1" s="155" t="s">
        <v>34</v>
      </c>
      <c r="D1" s="158" t="s">
        <v>35</v>
      </c>
      <c r="E1" s="156" t="s">
        <v>50</v>
      </c>
      <c r="F1" s="159" t="s">
        <v>39</v>
      </c>
    </row>
    <row r="2" spans="1:25" customFormat="1" ht="50.1" customHeight="1" x14ac:dyDescent="0.25">
      <c r="A2" s="335" t="s">
        <v>2562</v>
      </c>
      <c r="B2" s="336"/>
      <c r="C2" s="336"/>
      <c r="D2" s="336"/>
      <c r="E2" s="336"/>
      <c r="F2" s="336"/>
      <c r="G2" s="38"/>
      <c r="H2" s="38"/>
      <c r="I2" s="38"/>
      <c r="J2" s="38"/>
      <c r="K2" s="38"/>
      <c r="L2" s="38"/>
      <c r="M2" s="38"/>
      <c r="N2" s="38"/>
      <c r="O2" s="38"/>
      <c r="P2" s="38"/>
      <c r="Q2" s="38"/>
      <c r="R2" s="38"/>
      <c r="S2" s="38"/>
      <c r="T2" s="38"/>
      <c r="U2" s="38"/>
      <c r="V2" s="38"/>
      <c r="W2" s="38"/>
      <c r="X2" s="38"/>
      <c r="Y2" s="38"/>
    </row>
    <row r="3" spans="1:25" s="118" customFormat="1" ht="48" customHeight="1" x14ac:dyDescent="0.2">
      <c r="A3" s="138" t="s">
        <v>2563</v>
      </c>
      <c r="B3" s="139" t="s">
        <v>41</v>
      </c>
      <c r="C3" s="140" t="s">
        <v>42</v>
      </c>
      <c r="D3" s="139" t="s">
        <v>53</v>
      </c>
      <c r="E3" s="139" t="s">
        <v>54</v>
      </c>
      <c r="F3" s="141" t="s">
        <v>55</v>
      </c>
      <c r="G3" s="191"/>
      <c r="H3" s="191"/>
      <c r="I3" s="191"/>
      <c r="J3" s="191"/>
      <c r="K3" s="191"/>
      <c r="L3" s="191"/>
      <c r="M3" s="191"/>
      <c r="N3" s="191"/>
      <c r="O3" s="191"/>
      <c r="P3" s="191"/>
      <c r="Q3" s="191"/>
      <c r="R3" s="191"/>
      <c r="S3" s="191"/>
      <c r="T3" s="191"/>
      <c r="U3" s="191"/>
      <c r="V3" s="191"/>
      <c r="W3" s="191"/>
      <c r="X3" s="191"/>
      <c r="Y3" s="191"/>
    </row>
    <row r="4" spans="1:25" s="118" customFormat="1" ht="12" customHeight="1" x14ac:dyDescent="0.2">
      <c r="A4" s="142">
        <v>1</v>
      </c>
      <c r="B4" s="144">
        <v>2</v>
      </c>
      <c r="C4" s="210" t="s">
        <v>56</v>
      </c>
      <c r="D4" s="210">
        <v>4</v>
      </c>
      <c r="E4" s="144">
        <v>5</v>
      </c>
      <c r="F4" s="143">
        <v>6</v>
      </c>
      <c r="G4" s="191"/>
      <c r="H4" s="191"/>
      <c r="I4" s="191"/>
      <c r="J4" s="191"/>
      <c r="K4" s="191"/>
      <c r="L4" s="191"/>
      <c r="M4" s="191"/>
      <c r="N4" s="191"/>
      <c r="O4" s="191"/>
      <c r="P4" s="191"/>
      <c r="Q4" s="191"/>
      <c r="R4" s="191"/>
      <c r="S4" s="191"/>
      <c r="T4" s="191"/>
      <c r="U4" s="191"/>
      <c r="V4" s="191"/>
      <c r="W4" s="191"/>
      <c r="X4" s="191"/>
      <c r="Y4" s="191"/>
    </row>
    <row r="5" spans="1:25" customFormat="1" ht="12.75" customHeight="1" x14ac:dyDescent="0.2">
      <c r="A5" s="51" t="s">
        <v>1993</v>
      </c>
      <c r="B5" s="207" t="s">
        <v>2564</v>
      </c>
      <c r="C5" s="87" t="s">
        <v>1993</v>
      </c>
      <c r="D5" s="276">
        <f>D6+D10+D13+SUM(D17:D21)</f>
        <v>140197.5</v>
      </c>
      <c r="E5" s="276">
        <f>E6+E10+E13+SUM(E17:E21)</f>
        <v>187074.02000000002</v>
      </c>
      <c r="F5" s="216">
        <f t="shared" ref="F5:F36" si="0">IF(D5&gt;0,IF(E5/D5&gt;=100,"&gt;&gt;100",E5/D5*100),"-")</f>
        <v>133.43605984414845</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95" t="s">
        <v>2565</v>
      </c>
      <c r="C6" s="88" t="s">
        <v>1995</v>
      </c>
      <c r="D6" s="277">
        <f>SUM(D7:D9)</f>
        <v>49834.18</v>
      </c>
      <c r="E6" s="277">
        <f>SUM(E7:E9)</f>
        <v>64188.93</v>
      </c>
      <c r="F6" s="208">
        <f t="shared" si="0"/>
        <v>128.80502899816952</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50" t="s">
        <v>2567</v>
      </c>
      <c r="C7" s="88" t="s">
        <v>2566</v>
      </c>
      <c r="D7" s="278">
        <v>49834.18</v>
      </c>
      <c r="E7" s="278">
        <v>64188.93</v>
      </c>
      <c r="F7" s="208">
        <f t="shared" si="0"/>
        <v>128.80502899816952</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50" t="s">
        <v>2569</v>
      </c>
      <c r="C8" s="88" t="s">
        <v>2568</v>
      </c>
      <c r="D8" s="278">
        <v>0</v>
      </c>
      <c r="E8" s="278">
        <v>0</v>
      </c>
      <c r="F8" s="208"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50" t="s">
        <v>2571</v>
      </c>
      <c r="C9" s="88" t="s">
        <v>2570</v>
      </c>
      <c r="D9" s="278">
        <v>0</v>
      </c>
      <c r="E9" s="278">
        <v>0</v>
      </c>
      <c r="F9" s="208"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50" t="s">
        <v>2572</v>
      </c>
      <c r="C10" s="88" t="s">
        <v>1997</v>
      </c>
      <c r="D10" s="277">
        <f>SUM(D11:D12)</f>
        <v>0</v>
      </c>
      <c r="E10" s="277">
        <f>SUM(E11:E12)</f>
        <v>0</v>
      </c>
      <c r="F10" s="208"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50" t="s">
        <v>2574</v>
      </c>
      <c r="C11" s="88" t="s">
        <v>2573</v>
      </c>
      <c r="D11" s="278">
        <v>0</v>
      </c>
      <c r="E11" s="278">
        <v>0</v>
      </c>
      <c r="F11" s="208"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50" t="s">
        <v>2576</v>
      </c>
      <c r="C12" s="88" t="s">
        <v>2575</v>
      </c>
      <c r="D12" s="278">
        <v>0</v>
      </c>
      <c r="E12" s="278">
        <v>0</v>
      </c>
      <c r="F12" s="208"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50" t="s">
        <v>2578</v>
      </c>
      <c r="C13" s="88" t="s">
        <v>2577</v>
      </c>
      <c r="D13" s="277">
        <f>SUM(D14:D16)</f>
        <v>80321.27</v>
      </c>
      <c r="E13" s="277">
        <f>SUM(E14:E16)</f>
        <v>102817.98</v>
      </c>
      <c r="F13" s="208">
        <f t="shared" si="0"/>
        <v>128.00840922958511</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50" t="s">
        <v>2580</v>
      </c>
      <c r="C14" s="88" t="s">
        <v>2579</v>
      </c>
      <c r="D14" s="278">
        <v>80321.27</v>
      </c>
      <c r="E14" s="278">
        <v>102817.98</v>
      </c>
      <c r="F14" s="208">
        <f t="shared" si="0"/>
        <v>128.00840922958511</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50" t="s">
        <v>2582</v>
      </c>
      <c r="C15" s="88" t="s">
        <v>2581</v>
      </c>
      <c r="D15" s="278">
        <v>0</v>
      </c>
      <c r="E15" s="278">
        <v>0</v>
      </c>
      <c r="F15" s="208"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50" t="s">
        <v>2584</v>
      </c>
      <c r="C16" s="88" t="s">
        <v>2583</v>
      </c>
      <c r="D16" s="278">
        <v>0</v>
      </c>
      <c r="E16" s="278">
        <v>0</v>
      </c>
      <c r="F16" s="208"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50" t="s">
        <v>2586</v>
      </c>
      <c r="C17" s="88" t="s">
        <v>2585</v>
      </c>
      <c r="D17" s="278">
        <v>0</v>
      </c>
      <c r="E17" s="278">
        <v>0</v>
      </c>
      <c r="F17" s="208"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50" t="s">
        <v>2588</v>
      </c>
      <c r="C18" s="88" t="s">
        <v>2587</v>
      </c>
      <c r="D18" s="278">
        <v>0</v>
      </c>
      <c r="E18" s="278">
        <v>0</v>
      </c>
      <c r="F18" s="208"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50" t="s">
        <v>2590</v>
      </c>
      <c r="C19" s="88" t="s">
        <v>2589</v>
      </c>
      <c r="D19" s="278">
        <v>10042.049999999999</v>
      </c>
      <c r="E19" s="278">
        <v>19346.490000000002</v>
      </c>
      <c r="F19" s="208">
        <f t="shared" si="0"/>
        <v>192.65478662225345</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50" t="s">
        <v>2592</v>
      </c>
      <c r="C20" s="88" t="s">
        <v>2591</v>
      </c>
      <c r="D20" s="278">
        <v>0</v>
      </c>
      <c r="E20" s="278">
        <v>720.62</v>
      </c>
      <c r="F20" s="208"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50" t="s">
        <v>2594</v>
      </c>
      <c r="C21" s="88" t="s">
        <v>2593</v>
      </c>
      <c r="D21" s="278">
        <v>0</v>
      </c>
      <c r="E21" s="278">
        <v>0</v>
      </c>
      <c r="F21" s="208"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50" t="s">
        <v>2595</v>
      </c>
      <c r="C22" s="88" t="s">
        <v>2001</v>
      </c>
      <c r="D22" s="277">
        <f>SUM(D23:D27)</f>
        <v>0</v>
      </c>
      <c r="E22" s="277">
        <f>SUM(E23:E27)</f>
        <v>0</v>
      </c>
      <c r="F22" s="208"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50" t="s">
        <v>2597</v>
      </c>
      <c r="C23" s="88" t="s">
        <v>2596</v>
      </c>
      <c r="D23" s="278">
        <v>0</v>
      </c>
      <c r="E23" s="278">
        <v>0</v>
      </c>
      <c r="F23" s="208"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50" t="s">
        <v>2599</v>
      </c>
      <c r="C24" s="88" t="s">
        <v>2598</v>
      </c>
      <c r="D24" s="278">
        <v>0</v>
      </c>
      <c r="E24" s="278">
        <v>0</v>
      </c>
      <c r="F24" s="208"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50" t="s">
        <v>2601</v>
      </c>
      <c r="C25" s="88" t="s">
        <v>2600</v>
      </c>
      <c r="D25" s="278">
        <v>0</v>
      </c>
      <c r="E25" s="278">
        <v>0</v>
      </c>
      <c r="F25" s="208"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50" t="s">
        <v>2603</v>
      </c>
      <c r="C26" s="88" t="s">
        <v>2602</v>
      </c>
      <c r="D26" s="278">
        <v>0</v>
      </c>
      <c r="E26" s="278">
        <v>0</v>
      </c>
      <c r="F26" s="208"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50" t="s">
        <v>2605</v>
      </c>
      <c r="C27" s="88" t="s">
        <v>2604</v>
      </c>
      <c r="D27" s="278">
        <v>0</v>
      </c>
      <c r="E27" s="278">
        <v>0</v>
      </c>
      <c r="F27" s="208"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50" t="s">
        <v>2606</v>
      </c>
      <c r="C28" s="88" t="s">
        <v>2056</v>
      </c>
      <c r="D28" s="277">
        <f>SUM(D29:D34)</f>
        <v>17573.57</v>
      </c>
      <c r="E28" s="277">
        <f>SUM(E29:E34)</f>
        <v>66372.5</v>
      </c>
      <c r="F28" s="208">
        <f t="shared" si="0"/>
        <v>377.68364652145243</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50" t="s">
        <v>2608</v>
      </c>
      <c r="C29" s="88" t="s">
        <v>2607</v>
      </c>
      <c r="D29" s="278">
        <v>0</v>
      </c>
      <c r="E29" s="278">
        <v>0</v>
      </c>
      <c r="F29" s="208"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50" t="s">
        <v>2610</v>
      </c>
      <c r="C30" s="88" t="s">
        <v>2609</v>
      </c>
      <c r="D30" s="278">
        <v>0</v>
      </c>
      <c r="E30" s="278">
        <v>48642.5</v>
      </c>
      <c r="F30" s="208"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50" t="s">
        <v>2612</v>
      </c>
      <c r="C31" s="88" t="s">
        <v>2611</v>
      </c>
      <c r="D31" s="278">
        <v>0</v>
      </c>
      <c r="E31" s="278">
        <v>0</v>
      </c>
      <c r="F31" s="208"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50" t="s">
        <v>2614</v>
      </c>
      <c r="C32" s="88" t="s">
        <v>2613</v>
      </c>
      <c r="D32" s="278">
        <v>0</v>
      </c>
      <c r="E32" s="278">
        <v>0</v>
      </c>
      <c r="F32" s="208"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50" t="s">
        <v>2616</v>
      </c>
      <c r="C33" s="88" t="s">
        <v>2615</v>
      </c>
      <c r="D33" s="278">
        <v>0</v>
      </c>
      <c r="E33" s="278">
        <v>0</v>
      </c>
      <c r="F33" s="208"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50" t="s">
        <v>2618</v>
      </c>
      <c r="C34" s="88" t="s">
        <v>2617</v>
      </c>
      <c r="D34" s="278">
        <v>17573.57</v>
      </c>
      <c r="E34" s="278">
        <v>17730</v>
      </c>
      <c r="F34" s="208">
        <f t="shared" si="0"/>
        <v>100.89014355079814</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50" t="s">
        <v>2619</v>
      </c>
      <c r="C35" s="88" t="s">
        <v>2058</v>
      </c>
      <c r="D35" s="277">
        <f>D36+D39+D43+D50+D54+D60+D61+D66+D74</f>
        <v>182963.44</v>
      </c>
      <c r="E35" s="277">
        <f>E36+E39+E43+E50+E54+E60+E61+E66+E74</f>
        <v>281972.12</v>
      </c>
      <c r="F35" s="208">
        <f t="shared" si="0"/>
        <v>154.1139147799145</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50" t="s">
        <v>2620</v>
      </c>
      <c r="C36" s="88" t="s">
        <v>2060</v>
      </c>
      <c r="D36" s="277">
        <f>SUM(D37:D38)</f>
        <v>0</v>
      </c>
      <c r="E36" s="277">
        <f>SUM(E37:E38)</f>
        <v>0</v>
      </c>
      <c r="F36" s="208"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50" t="s">
        <v>2622</v>
      </c>
      <c r="C37" s="88" t="s">
        <v>2621</v>
      </c>
      <c r="D37" s="278">
        <v>0</v>
      </c>
      <c r="E37" s="278">
        <v>0</v>
      </c>
      <c r="F37" s="208"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50" t="s">
        <v>2624</v>
      </c>
      <c r="C38" s="88" t="s">
        <v>2623</v>
      </c>
      <c r="D38" s="278">
        <v>0</v>
      </c>
      <c r="E38" s="278">
        <v>0</v>
      </c>
      <c r="F38" s="208"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50" t="s">
        <v>2625</v>
      </c>
      <c r="C39" s="88" t="s">
        <v>2062</v>
      </c>
      <c r="D39" s="277">
        <f>SUM(D40:D42)</f>
        <v>0</v>
      </c>
      <c r="E39" s="277">
        <f>SUM(E40:E42)</f>
        <v>0</v>
      </c>
      <c r="F39" s="208"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50" t="s">
        <v>2627</v>
      </c>
      <c r="C40" s="88" t="s">
        <v>2626</v>
      </c>
      <c r="D40" s="278">
        <v>0</v>
      </c>
      <c r="E40" s="278">
        <v>0</v>
      </c>
      <c r="F40" s="208"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50" t="s">
        <v>2629</v>
      </c>
      <c r="C41" s="88" t="s">
        <v>2628</v>
      </c>
      <c r="D41" s="278">
        <v>0</v>
      </c>
      <c r="E41" s="278">
        <v>0</v>
      </c>
      <c r="F41" s="208"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50" t="s">
        <v>2631</v>
      </c>
      <c r="C42" s="88" t="s">
        <v>2630</v>
      </c>
      <c r="D42" s="278">
        <v>0</v>
      </c>
      <c r="E42" s="278">
        <v>0</v>
      </c>
      <c r="F42" s="208"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50" t="s">
        <v>2633</v>
      </c>
      <c r="C43" s="88" t="s">
        <v>2632</v>
      </c>
      <c r="D43" s="277">
        <f>SUM(D44:D49)</f>
        <v>0</v>
      </c>
      <c r="E43" s="277">
        <f>SUM(E44:E49)</f>
        <v>0</v>
      </c>
      <c r="F43" s="208"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50" t="s">
        <v>2635</v>
      </c>
      <c r="C44" s="88" t="s">
        <v>2634</v>
      </c>
      <c r="D44" s="278">
        <v>0</v>
      </c>
      <c r="E44" s="278">
        <v>0</v>
      </c>
      <c r="F44" s="208"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50" t="s">
        <v>2637</v>
      </c>
      <c r="C45" s="88" t="s">
        <v>2636</v>
      </c>
      <c r="D45" s="278">
        <v>0</v>
      </c>
      <c r="E45" s="278">
        <v>0</v>
      </c>
      <c r="F45" s="208"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50" t="s">
        <v>2639</v>
      </c>
      <c r="C46" s="88" t="s">
        <v>2638</v>
      </c>
      <c r="D46" s="278">
        <v>0</v>
      </c>
      <c r="E46" s="278">
        <v>0</v>
      </c>
      <c r="F46" s="208"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50" t="s">
        <v>2641</v>
      </c>
      <c r="C47" s="88" t="s">
        <v>2640</v>
      </c>
      <c r="D47" s="278">
        <v>0</v>
      </c>
      <c r="E47" s="278">
        <v>0</v>
      </c>
      <c r="F47" s="208"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50" t="s">
        <v>2643</v>
      </c>
      <c r="C48" s="88" t="s">
        <v>2642</v>
      </c>
      <c r="D48" s="278">
        <v>0</v>
      </c>
      <c r="E48" s="278">
        <v>0</v>
      </c>
      <c r="F48" s="208"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50" t="s">
        <v>2645</v>
      </c>
      <c r="C49" s="88" t="s">
        <v>2644</v>
      </c>
      <c r="D49" s="278">
        <v>0</v>
      </c>
      <c r="E49" s="278">
        <v>0</v>
      </c>
      <c r="F49" s="208"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50" t="s">
        <v>2647</v>
      </c>
      <c r="C50" s="88" t="s">
        <v>2646</v>
      </c>
      <c r="D50" s="277">
        <f>SUM(D51:D53)</f>
        <v>1350.4</v>
      </c>
      <c r="E50" s="277">
        <f>SUM(E51:E53)</f>
        <v>60437.64</v>
      </c>
      <c r="F50" s="208">
        <f t="shared" si="1"/>
        <v>4475.5361374407576</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50" t="s">
        <v>2649</v>
      </c>
      <c r="C51" s="88" t="s">
        <v>2648</v>
      </c>
      <c r="D51" s="278">
        <v>0</v>
      </c>
      <c r="E51" s="278">
        <v>0</v>
      </c>
      <c r="F51" s="208"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50" t="s">
        <v>2651</v>
      </c>
      <c r="C52" s="88" t="s">
        <v>2650</v>
      </c>
      <c r="D52" s="278">
        <v>0</v>
      </c>
      <c r="E52" s="278">
        <v>0</v>
      </c>
      <c r="F52" s="208"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50" t="s">
        <v>2653</v>
      </c>
      <c r="C53" s="88" t="s">
        <v>2652</v>
      </c>
      <c r="D53" s="278">
        <v>1350.4</v>
      </c>
      <c r="E53" s="278">
        <v>60437.64</v>
      </c>
      <c r="F53" s="208">
        <f t="shared" si="1"/>
        <v>4475.5361374407576</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50" t="s">
        <v>2655</v>
      </c>
      <c r="C54" s="88" t="s">
        <v>2654</v>
      </c>
      <c r="D54" s="277">
        <f>SUM(D55:D59)</f>
        <v>181613.04</v>
      </c>
      <c r="E54" s="277">
        <f>SUM(E55:E59)</f>
        <v>221355.3</v>
      </c>
      <c r="F54" s="208">
        <f t="shared" si="1"/>
        <v>121.88293307573068</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50" t="s">
        <v>2657</v>
      </c>
      <c r="C55" s="88" t="s">
        <v>2656</v>
      </c>
      <c r="D55" s="278">
        <v>181613.04</v>
      </c>
      <c r="E55" s="278">
        <v>221355.3</v>
      </c>
      <c r="F55" s="208">
        <f t="shared" si="1"/>
        <v>121.88293307573068</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50" t="s">
        <v>2659</v>
      </c>
      <c r="C56" s="88" t="s">
        <v>2658</v>
      </c>
      <c r="D56" s="278">
        <v>0</v>
      </c>
      <c r="E56" s="278">
        <v>0</v>
      </c>
      <c r="F56" s="208"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50" t="s">
        <v>2661</v>
      </c>
      <c r="C57" s="88" t="s">
        <v>2660</v>
      </c>
      <c r="D57" s="278">
        <v>0</v>
      </c>
      <c r="E57" s="278">
        <v>0</v>
      </c>
      <c r="F57" s="208"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50" t="s">
        <v>2663</v>
      </c>
      <c r="C58" s="88" t="s">
        <v>2662</v>
      </c>
      <c r="D58" s="278">
        <v>0</v>
      </c>
      <c r="E58" s="278">
        <v>0</v>
      </c>
      <c r="F58" s="208"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50" t="s">
        <v>2665</v>
      </c>
      <c r="C59" s="88" t="s">
        <v>2664</v>
      </c>
      <c r="D59" s="278">
        <v>0</v>
      </c>
      <c r="E59" s="278">
        <v>0</v>
      </c>
      <c r="F59" s="208"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50" t="s">
        <v>2667</v>
      </c>
      <c r="C60" s="88" t="s">
        <v>2666</v>
      </c>
      <c r="D60" s="278">
        <v>0</v>
      </c>
      <c r="E60" s="278">
        <v>179.18</v>
      </c>
      <c r="F60" s="208"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50" t="s">
        <v>2669</v>
      </c>
      <c r="C61" s="88" t="s">
        <v>2668</v>
      </c>
      <c r="D61" s="277">
        <f>SUM(D62:D65)</f>
        <v>0</v>
      </c>
      <c r="E61" s="277">
        <f>SUM(E62:E65)</f>
        <v>0</v>
      </c>
      <c r="F61" s="208"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50" t="s">
        <v>2671</v>
      </c>
      <c r="C62" s="88" t="s">
        <v>2670</v>
      </c>
      <c r="D62" s="278">
        <v>0</v>
      </c>
      <c r="E62" s="278">
        <v>0</v>
      </c>
      <c r="F62" s="208"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50" t="s">
        <v>2673</v>
      </c>
      <c r="C63" s="88" t="s">
        <v>2672</v>
      </c>
      <c r="D63" s="278">
        <v>0</v>
      </c>
      <c r="E63" s="278">
        <v>0</v>
      </c>
      <c r="F63" s="208"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50" t="s">
        <v>2675</v>
      </c>
      <c r="C64" s="88" t="s">
        <v>2674</v>
      </c>
      <c r="D64" s="278">
        <v>0</v>
      </c>
      <c r="E64" s="278">
        <v>0</v>
      </c>
      <c r="F64" s="208"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50" t="s">
        <v>2677</v>
      </c>
      <c r="C65" s="88" t="s">
        <v>2676</v>
      </c>
      <c r="D65" s="278">
        <v>0</v>
      </c>
      <c r="E65" s="278">
        <v>0</v>
      </c>
      <c r="F65" s="208"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50" t="s">
        <v>2679</v>
      </c>
      <c r="C66" s="88" t="s">
        <v>2678</v>
      </c>
      <c r="D66" s="277">
        <f>SUM(D67:D73)</f>
        <v>0</v>
      </c>
      <c r="E66" s="277">
        <f>SUM(E67:E73)</f>
        <v>0</v>
      </c>
      <c r="F66" s="208"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50" t="s">
        <v>2681</v>
      </c>
      <c r="C67" s="88" t="s">
        <v>2680</v>
      </c>
      <c r="D67" s="278">
        <v>0</v>
      </c>
      <c r="E67" s="278">
        <v>0</v>
      </c>
      <c r="F67" s="208"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50" t="s">
        <v>2683</v>
      </c>
      <c r="C68" s="88" t="s">
        <v>2682</v>
      </c>
      <c r="D68" s="278">
        <v>0</v>
      </c>
      <c r="E68" s="278">
        <v>0</v>
      </c>
      <c r="F68" s="208"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50" t="s">
        <v>2685</v>
      </c>
      <c r="C69" s="88" t="s">
        <v>2684</v>
      </c>
      <c r="D69" s="278">
        <v>0</v>
      </c>
      <c r="E69" s="278">
        <v>0</v>
      </c>
      <c r="F69" s="208"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50" t="s">
        <v>2687</v>
      </c>
      <c r="C70" s="88" t="s">
        <v>2686</v>
      </c>
      <c r="D70" s="278">
        <v>0</v>
      </c>
      <c r="E70" s="278">
        <v>0</v>
      </c>
      <c r="F70" s="208"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50" t="s">
        <v>2689</v>
      </c>
      <c r="C71" s="88" t="s">
        <v>2688</v>
      </c>
      <c r="D71" s="278">
        <v>0</v>
      </c>
      <c r="E71" s="278">
        <v>0</v>
      </c>
      <c r="F71" s="208"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50" t="s">
        <v>2691</v>
      </c>
      <c r="C72" s="88" t="s">
        <v>2690</v>
      </c>
      <c r="D72" s="278">
        <v>0</v>
      </c>
      <c r="E72" s="278">
        <v>0</v>
      </c>
      <c r="F72" s="208"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50" t="s">
        <v>2693</v>
      </c>
      <c r="C73" s="88" t="s">
        <v>2692</v>
      </c>
      <c r="D73" s="278">
        <v>0</v>
      </c>
      <c r="E73" s="278">
        <v>0</v>
      </c>
      <c r="F73" s="208"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50" t="s">
        <v>2694</v>
      </c>
      <c r="C74" s="88" t="s">
        <v>2064</v>
      </c>
      <c r="D74" s="278">
        <v>0</v>
      </c>
      <c r="E74" s="278">
        <v>0</v>
      </c>
      <c r="F74" s="208"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50" t="s">
        <v>2695</v>
      </c>
      <c r="C75" s="88" t="s">
        <v>2066</v>
      </c>
      <c r="D75" s="277">
        <f>SUM(D76:D81)</f>
        <v>6909.4</v>
      </c>
      <c r="E75" s="277">
        <f>SUM(E76:E81)</f>
        <v>12914.47</v>
      </c>
      <c r="F75" s="208">
        <f t="shared" si="2"/>
        <v>186.91159869163747</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50" t="s">
        <v>2696</v>
      </c>
      <c r="C76" s="88" t="s">
        <v>2068</v>
      </c>
      <c r="D76" s="278">
        <v>3990.65</v>
      </c>
      <c r="E76" s="278">
        <v>10783.22</v>
      </c>
      <c r="F76" s="208">
        <f t="shared" si="2"/>
        <v>270.21212083244581</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50" t="s">
        <v>2697</v>
      </c>
      <c r="C77" s="88" t="s">
        <v>2070</v>
      </c>
      <c r="D77" s="278">
        <v>0</v>
      </c>
      <c r="E77" s="278">
        <v>0</v>
      </c>
      <c r="F77" s="208"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50" t="s">
        <v>2698</v>
      </c>
      <c r="C78" s="88" t="s">
        <v>2072</v>
      </c>
      <c r="D78" s="278">
        <v>2918.75</v>
      </c>
      <c r="E78" s="278">
        <v>2131.25</v>
      </c>
      <c r="F78" s="208">
        <f t="shared" si="2"/>
        <v>73.019271948608136</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50" t="s">
        <v>2699</v>
      </c>
      <c r="C79" s="88" t="s">
        <v>2074</v>
      </c>
      <c r="D79" s="278">
        <v>0</v>
      </c>
      <c r="E79" s="278">
        <v>0</v>
      </c>
      <c r="F79" s="208"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50" t="s">
        <v>2700</v>
      </c>
      <c r="C80" s="88" t="s">
        <v>2076</v>
      </c>
      <c r="D80" s="278">
        <v>0</v>
      </c>
      <c r="E80" s="278">
        <v>0</v>
      </c>
      <c r="F80" s="208"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50" t="s">
        <v>2701</v>
      </c>
      <c r="C81" s="88" t="s">
        <v>2078</v>
      </c>
      <c r="D81" s="278">
        <v>0</v>
      </c>
      <c r="E81" s="278">
        <v>0</v>
      </c>
      <c r="F81" s="208"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50" t="s">
        <v>2702</v>
      </c>
      <c r="C82" s="88" t="s">
        <v>2080</v>
      </c>
      <c r="D82" s="277">
        <f>SUM(D83:D88)</f>
        <v>104488.41</v>
      </c>
      <c r="E82" s="277">
        <f>SUM(E83:E88)</f>
        <v>162515.28</v>
      </c>
      <c r="F82" s="208">
        <f t="shared" si="2"/>
        <v>155.53426451794988</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50" t="s">
        <v>2703</v>
      </c>
      <c r="C83" s="88" t="s">
        <v>2082</v>
      </c>
      <c r="D83" s="278">
        <v>0</v>
      </c>
      <c r="E83" s="278">
        <v>0</v>
      </c>
      <c r="F83" s="208"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50" t="s">
        <v>2704</v>
      </c>
      <c r="C84" s="88" t="s">
        <v>2084</v>
      </c>
      <c r="D84" s="278">
        <v>45955.43</v>
      </c>
      <c r="E84" s="278">
        <v>77472.95</v>
      </c>
      <c r="F84" s="208">
        <f t="shared" si="2"/>
        <v>168.5827985942031</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50" t="s">
        <v>2705</v>
      </c>
      <c r="C85" s="88" t="s">
        <v>2086</v>
      </c>
      <c r="D85" s="278">
        <v>0</v>
      </c>
      <c r="E85" s="278">
        <v>0</v>
      </c>
      <c r="F85" s="208"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50" t="s">
        <v>2706</v>
      </c>
      <c r="C86" s="88" t="s">
        <v>2088</v>
      </c>
      <c r="D86" s="278">
        <v>9845.31</v>
      </c>
      <c r="E86" s="278">
        <v>20338.330000000002</v>
      </c>
      <c r="F86" s="208">
        <f t="shared" si="2"/>
        <v>206.57886851709088</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50" t="s">
        <v>2708</v>
      </c>
      <c r="C87" s="88" t="s">
        <v>2707</v>
      </c>
      <c r="D87" s="278">
        <v>0</v>
      </c>
      <c r="E87" s="278">
        <v>0</v>
      </c>
      <c r="F87" s="208"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50" t="s">
        <v>2710</v>
      </c>
      <c r="C88" s="88" t="s">
        <v>2709</v>
      </c>
      <c r="D88" s="278">
        <v>48687.67</v>
      </c>
      <c r="E88" s="278">
        <v>64704</v>
      </c>
      <c r="F88" s="208">
        <f t="shared" si="2"/>
        <v>132.8960699906157</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50" t="s">
        <v>2712</v>
      </c>
      <c r="C89" s="88" t="s">
        <v>2711</v>
      </c>
      <c r="D89" s="277">
        <f>D90+D94+D99+D104+D105+D106</f>
        <v>8628.39</v>
      </c>
      <c r="E89" s="277">
        <f>E90+E94+E99+E104+E105+E106</f>
        <v>2820</v>
      </c>
      <c r="F89" s="208">
        <f t="shared" si="2"/>
        <v>32.682806410002328</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50" t="s">
        <v>2714</v>
      </c>
      <c r="C90" s="88" t="s">
        <v>2713</v>
      </c>
      <c r="D90" s="277">
        <f>SUM(D91:D93)</f>
        <v>0</v>
      </c>
      <c r="E90" s="277">
        <f>SUM(E91:E93)</f>
        <v>0</v>
      </c>
      <c r="F90" s="208"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50" t="s">
        <v>1623</v>
      </c>
      <c r="C91" s="88" t="s">
        <v>2715</v>
      </c>
      <c r="D91" s="278">
        <v>0</v>
      </c>
      <c r="E91" s="278">
        <v>0</v>
      </c>
      <c r="F91" s="208"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50" t="s">
        <v>2717</v>
      </c>
      <c r="C92" s="88" t="s">
        <v>2716</v>
      </c>
      <c r="D92" s="278">
        <v>0</v>
      </c>
      <c r="E92" s="278">
        <v>0</v>
      </c>
      <c r="F92" s="208"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50" t="s">
        <v>2719</v>
      </c>
      <c r="C93" s="88" t="s">
        <v>2718</v>
      </c>
      <c r="D93" s="278">
        <v>0</v>
      </c>
      <c r="E93" s="278">
        <v>0</v>
      </c>
      <c r="F93" s="208"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50" t="s">
        <v>2721</v>
      </c>
      <c r="C94" s="88" t="s">
        <v>2720</v>
      </c>
      <c r="D94" s="277">
        <f>SUM(D95:D98)</f>
        <v>0</v>
      </c>
      <c r="E94" s="277">
        <f>SUM(E95:E98)</f>
        <v>0</v>
      </c>
      <c r="F94" s="208"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50" t="s">
        <v>2723</v>
      </c>
      <c r="C95" s="88" t="s">
        <v>2722</v>
      </c>
      <c r="D95" s="278">
        <v>0</v>
      </c>
      <c r="E95" s="278">
        <v>0</v>
      </c>
      <c r="F95" s="208"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50" t="s">
        <v>2725</v>
      </c>
      <c r="C96" s="88" t="s">
        <v>2724</v>
      </c>
      <c r="D96" s="278">
        <v>0</v>
      </c>
      <c r="E96" s="278">
        <v>0</v>
      </c>
      <c r="F96" s="208"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50" t="s">
        <v>2727</v>
      </c>
      <c r="C97" s="88" t="s">
        <v>2726</v>
      </c>
      <c r="D97" s="278">
        <v>0</v>
      </c>
      <c r="E97" s="278">
        <v>0</v>
      </c>
      <c r="F97" s="208"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50" t="s">
        <v>2729</v>
      </c>
      <c r="C98" s="88" t="s">
        <v>2728</v>
      </c>
      <c r="D98" s="278">
        <v>0</v>
      </c>
      <c r="E98" s="278">
        <v>0</v>
      </c>
      <c r="F98" s="208"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50" t="s">
        <v>2731</v>
      </c>
      <c r="C99" s="88" t="s">
        <v>2730</v>
      </c>
      <c r="D99" s="277">
        <f>SUM(D100:D103)</f>
        <v>0</v>
      </c>
      <c r="E99" s="277">
        <f>SUM(E100:E103)</f>
        <v>0</v>
      </c>
      <c r="F99" s="208"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50" t="s">
        <v>2733</v>
      </c>
      <c r="C100" s="88" t="s">
        <v>2732</v>
      </c>
      <c r="D100" s="278">
        <v>0</v>
      </c>
      <c r="E100" s="278">
        <v>0</v>
      </c>
      <c r="F100" s="208"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50" t="s">
        <v>2735</v>
      </c>
      <c r="C101" s="88" t="s">
        <v>2734</v>
      </c>
      <c r="D101" s="278">
        <v>0</v>
      </c>
      <c r="E101" s="278">
        <v>0</v>
      </c>
      <c r="F101" s="208"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50" t="s">
        <v>2737</v>
      </c>
      <c r="C102" s="88" t="s">
        <v>2736</v>
      </c>
      <c r="D102" s="278">
        <v>0</v>
      </c>
      <c r="E102" s="278">
        <v>0</v>
      </c>
      <c r="F102" s="208"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50" t="s">
        <v>2739</v>
      </c>
      <c r="C103" s="88" t="s">
        <v>2738</v>
      </c>
      <c r="D103" s="278">
        <v>0</v>
      </c>
      <c r="E103" s="278">
        <v>0</v>
      </c>
      <c r="F103" s="208"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50" t="s">
        <v>2741</v>
      </c>
      <c r="C104" s="88" t="s">
        <v>2740</v>
      </c>
      <c r="D104" s="278">
        <v>0</v>
      </c>
      <c r="E104" s="278">
        <v>0</v>
      </c>
      <c r="F104" s="208"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50" t="s">
        <v>2743</v>
      </c>
      <c r="C105" s="88" t="s">
        <v>2742</v>
      </c>
      <c r="D105" s="278">
        <v>0</v>
      </c>
      <c r="E105" s="278">
        <v>0</v>
      </c>
      <c r="F105" s="208"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50" t="s">
        <v>2745</v>
      </c>
      <c r="C106" s="88" t="s">
        <v>2744</v>
      </c>
      <c r="D106" s="278">
        <v>8628.39</v>
      </c>
      <c r="E106" s="278">
        <v>2820</v>
      </c>
      <c r="F106" s="208">
        <f t="shared" si="3"/>
        <v>32.682806410002328</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50" t="s">
        <v>2747</v>
      </c>
      <c r="C107" s="88" t="s">
        <v>2746</v>
      </c>
      <c r="D107" s="277">
        <f>SUM(D108:D113)</f>
        <v>22062.739999999998</v>
      </c>
      <c r="E107" s="277">
        <f>SUM(E108:E113)</f>
        <v>53787.26</v>
      </c>
      <c r="F107" s="208">
        <f t="shared" si="3"/>
        <v>243.79229415748003</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50" t="s">
        <v>2749</v>
      </c>
      <c r="C108" s="88" t="s">
        <v>2748</v>
      </c>
      <c r="D108" s="278">
        <v>14950</v>
      </c>
      <c r="E108" s="278">
        <v>18000</v>
      </c>
      <c r="F108" s="208">
        <f t="shared" si="3"/>
        <v>120.40133779264215</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50" t="s">
        <v>2751</v>
      </c>
      <c r="C109" s="88" t="s">
        <v>2750</v>
      </c>
      <c r="D109" s="278">
        <v>0</v>
      </c>
      <c r="E109" s="278">
        <v>0</v>
      </c>
      <c r="F109" s="208"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50" t="s">
        <v>2753</v>
      </c>
      <c r="C110" s="88" t="s">
        <v>2752</v>
      </c>
      <c r="D110" s="278">
        <v>0</v>
      </c>
      <c r="E110" s="278">
        <v>0</v>
      </c>
      <c r="F110" s="208"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50" t="s">
        <v>2755</v>
      </c>
      <c r="C111" s="88" t="s">
        <v>2754</v>
      </c>
      <c r="D111" s="278">
        <v>500</v>
      </c>
      <c r="E111" s="278">
        <v>0</v>
      </c>
      <c r="F111" s="208">
        <f t="shared" si="3"/>
        <v>0</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50" t="s">
        <v>2757</v>
      </c>
      <c r="C112" s="88" t="s">
        <v>2756</v>
      </c>
      <c r="D112" s="278">
        <v>0</v>
      </c>
      <c r="E112" s="278">
        <v>0</v>
      </c>
      <c r="F112" s="208"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50" t="s">
        <v>2759</v>
      </c>
      <c r="C113" s="88" t="s">
        <v>2758</v>
      </c>
      <c r="D113" s="278">
        <v>6612.74</v>
      </c>
      <c r="E113" s="278">
        <v>35787.26</v>
      </c>
      <c r="F113" s="208">
        <f t="shared" si="3"/>
        <v>541.1865580682138</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50" t="s">
        <v>2761</v>
      </c>
      <c r="C114" s="88" t="s">
        <v>2760</v>
      </c>
      <c r="D114" s="277">
        <f>D115+D118+D121+D122+SUM(D125:D128)</f>
        <v>113325.95000000001</v>
      </c>
      <c r="E114" s="277">
        <f>E115+E118+E121+E122+SUM(E125:E128)</f>
        <v>540390.7699999999</v>
      </c>
      <c r="F114" s="208">
        <f t="shared" si="3"/>
        <v>476.84645043787395</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50" t="s">
        <v>2763</v>
      </c>
      <c r="C115" s="88" t="s">
        <v>2762</v>
      </c>
      <c r="D115" s="277">
        <f>SUM(D116:D117)</f>
        <v>107802.38</v>
      </c>
      <c r="E115" s="277">
        <f>SUM(E116:E117)</f>
        <v>534982.82999999996</v>
      </c>
      <c r="F115" s="208">
        <f t="shared" si="3"/>
        <v>496.26254077136326</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50" t="s">
        <v>2765</v>
      </c>
      <c r="C116" s="88" t="s">
        <v>2764</v>
      </c>
      <c r="D116" s="278">
        <v>70022.02</v>
      </c>
      <c r="E116" s="278">
        <v>432558.42</v>
      </c>
      <c r="F116" s="208">
        <f t="shared" si="3"/>
        <v>617.74627467188179</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50" t="s">
        <v>2767</v>
      </c>
      <c r="C117" s="88" t="s">
        <v>2766</v>
      </c>
      <c r="D117" s="278">
        <v>37780.36</v>
      </c>
      <c r="E117" s="278">
        <v>102424.41</v>
      </c>
      <c r="F117" s="208">
        <f t="shared" si="3"/>
        <v>271.10490741750476</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50" t="s">
        <v>2769</v>
      </c>
      <c r="C118" s="88" t="s">
        <v>2768</v>
      </c>
      <c r="D118" s="277">
        <f>SUM(D119:D120)</f>
        <v>5523.57</v>
      </c>
      <c r="E118" s="277">
        <f>SUM(E119:E120)</f>
        <v>5407.94</v>
      </c>
      <c r="F118" s="208">
        <f t="shared" si="3"/>
        <v>97.906607502032188</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50" t="s">
        <v>2771</v>
      </c>
      <c r="C119" s="88" t="s">
        <v>2770</v>
      </c>
      <c r="D119" s="278">
        <v>0</v>
      </c>
      <c r="E119" s="278">
        <v>0</v>
      </c>
      <c r="F119" s="208"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50" t="s">
        <v>2773</v>
      </c>
      <c r="C120" s="88" t="s">
        <v>2772</v>
      </c>
      <c r="D120" s="278">
        <v>5523.57</v>
      </c>
      <c r="E120" s="278">
        <v>5407.94</v>
      </c>
      <c r="F120" s="208">
        <f t="shared" si="3"/>
        <v>97.906607502032188</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50" t="s">
        <v>2775</v>
      </c>
      <c r="C121" s="88" t="s">
        <v>2774</v>
      </c>
      <c r="D121" s="278">
        <v>0</v>
      </c>
      <c r="E121" s="278">
        <v>0</v>
      </c>
      <c r="F121" s="208"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50" t="s">
        <v>2777</v>
      </c>
      <c r="C122" s="88" t="s">
        <v>2776</v>
      </c>
      <c r="D122" s="277">
        <f>SUM(D123:D124)</f>
        <v>0</v>
      </c>
      <c r="E122" s="277">
        <f>SUM(E123:E124)</f>
        <v>0</v>
      </c>
      <c r="F122" s="208"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50" t="s">
        <v>2779</v>
      </c>
      <c r="C123" s="88" t="s">
        <v>2778</v>
      </c>
      <c r="D123" s="278">
        <v>0</v>
      </c>
      <c r="E123" s="278">
        <v>0</v>
      </c>
      <c r="F123" s="208"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50" t="s">
        <v>2781</v>
      </c>
      <c r="C124" s="88" t="s">
        <v>2780</v>
      </c>
      <c r="D124" s="278">
        <v>0</v>
      </c>
      <c r="E124" s="278">
        <v>0</v>
      </c>
      <c r="F124" s="208"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50" t="s">
        <v>2783</v>
      </c>
      <c r="C125" s="88" t="s">
        <v>2782</v>
      </c>
      <c r="D125" s="278">
        <v>0</v>
      </c>
      <c r="E125" s="278">
        <v>0</v>
      </c>
      <c r="F125" s="208"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50" t="s">
        <v>2785</v>
      </c>
      <c r="C126" s="88" t="s">
        <v>2784</v>
      </c>
      <c r="D126" s="278">
        <v>0</v>
      </c>
      <c r="E126" s="278">
        <v>0</v>
      </c>
      <c r="F126" s="208"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50" t="s">
        <v>2787</v>
      </c>
      <c r="C127" s="88" t="s">
        <v>2786</v>
      </c>
      <c r="D127" s="278">
        <v>0</v>
      </c>
      <c r="E127" s="278">
        <v>0</v>
      </c>
      <c r="F127" s="208"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50" t="s">
        <v>2789</v>
      </c>
      <c r="C128" s="88" t="s">
        <v>2788</v>
      </c>
      <c r="D128" s="278">
        <v>0</v>
      </c>
      <c r="E128" s="278">
        <v>0</v>
      </c>
      <c r="F128" s="208"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50" t="s">
        <v>2791</v>
      </c>
      <c r="C129" s="88" t="s">
        <v>2790</v>
      </c>
      <c r="D129" s="277">
        <f>D130+D133+SUM(D134:D140)</f>
        <v>15077.09</v>
      </c>
      <c r="E129" s="277">
        <f>E130+E133+SUM(E134:E140)</f>
        <v>22540.09</v>
      </c>
      <c r="F129" s="208">
        <f t="shared" si="3"/>
        <v>149.49894177192019</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50" t="s">
        <v>2793</v>
      </c>
      <c r="C130" s="88" t="s">
        <v>2792</v>
      </c>
      <c r="D130" s="277">
        <f>SUM(D131:D132)</f>
        <v>0</v>
      </c>
      <c r="E130" s="277">
        <f>SUM(E131:E132)</f>
        <v>0</v>
      </c>
      <c r="F130" s="208"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50" t="s">
        <v>2795</v>
      </c>
      <c r="C131" s="88" t="s">
        <v>2794</v>
      </c>
      <c r="D131" s="278">
        <v>0</v>
      </c>
      <c r="E131" s="278">
        <v>0</v>
      </c>
      <c r="F131" s="208"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50" t="s">
        <v>2797</v>
      </c>
      <c r="C132" s="88" t="s">
        <v>2796</v>
      </c>
      <c r="D132" s="278">
        <v>0</v>
      </c>
      <c r="E132" s="278">
        <v>0</v>
      </c>
      <c r="F132" s="208"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50" t="s">
        <v>2799</v>
      </c>
      <c r="C133" s="88" t="s">
        <v>2798</v>
      </c>
      <c r="D133" s="278">
        <v>9270</v>
      </c>
      <c r="E133" s="278">
        <v>12160</v>
      </c>
      <c r="F133" s="208">
        <f t="shared" ref="F133:F141" si="4">IF(D133&gt;0,IF(E133/D133&gt;=100,"&gt;&gt;100",E133/D133*100),"-")</f>
        <v>131.17583603020498</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50" t="s">
        <v>2801</v>
      </c>
      <c r="C134" s="88" t="s">
        <v>2800</v>
      </c>
      <c r="D134" s="278">
        <v>0</v>
      </c>
      <c r="E134" s="278">
        <v>0</v>
      </c>
      <c r="F134" s="208"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50" t="s">
        <v>2803</v>
      </c>
      <c r="C135" s="88" t="s">
        <v>2802</v>
      </c>
      <c r="D135" s="278">
        <v>0</v>
      </c>
      <c r="E135" s="278">
        <v>0</v>
      </c>
      <c r="F135" s="208"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50" t="s">
        <v>2805</v>
      </c>
      <c r="C136" s="88" t="s">
        <v>2804</v>
      </c>
      <c r="D136" s="278">
        <v>0</v>
      </c>
      <c r="E136" s="278">
        <v>0</v>
      </c>
      <c r="F136" s="208"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50" t="s">
        <v>1650</v>
      </c>
      <c r="C137" s="88" t="s">
        <v>2806</v>
      </c>
      <c r="D137" s="278">
        <v>0</v>
      </c>
      <c r="E137" s="278">
        <v>0</v>
      </c>
      <c r="F137" s="208"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95" t="s">
        <v>2808</v>
      </c>
      <c r="C138" s="88" t="s">
        <v>2807</v>
      </c>
      <c r="D138" s="278">
        <v>221.68</v>
      </c>
      <c r="E138" s="278">
        <v>2890.09</v>
      </c>
      <c r="F138" s="208">
        <f t="shared" si="4"/>
        <v>1303.7215806568026</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50" t="s">
        <v>2810</v>
      </c>
      <c r="C139" s="88" t="s">
        <v>2809</v>
      </c>
      <c r="D139" s="278">
        <v>0</v>
      </c>
      <c r="E139" s="278">
        <v>0</v>
      </c>
      <c r="F139" s="208"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50" t="s">
        <v>2812</v>
      </c>
      <c r="C140" s="88" t="s">
        <v>2811</v>
      </c>
      <c r="D140" s="278">
        <v>5585.41</v>
      </c>
      <c r="E140" s="278">
        <v>7490</v>
      </c>
      <c r="F140" s="208">
        <f t="shared" si="4"/>
        <v>134.09937676911812</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69"/>
      <c r="B141" s="94" t="s">
        <v>2813</v>
      </c>
      <c r="C141" s="89" t="s">
        <v>2814</v>
      </c>
      <c r="D141" s="279">
        <f>D5+D22+D28+D35+D75+D82+D89+D107+D114+D129</f>
        <v>611226.49000000011</v>
      </c>
      <c r="E141" s="279">
        <f>E5+E22+E28+E35+E75+E82+E89+E107+E114+E129</f>
        <v>1330386.51</v>
      </c>
      <c r="F141" s="217">
        <f t="shared" si="4"/>
        <v>217.65851640363292</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104"/>
      <c r="B142" s="101"/>
      <c r="C142" s="218"/>
      <c r="D142" s="209"/>
      <c r="E142" s="209"/>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104"/>
      <c r="B143" s="101"/>
      <c r="C143" s="218"/>
      <c r="D143" s="337"/>
      <c r="E143" s="338"/>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104"/>
      <c r="B144" s="101"/>
      <c r="C144" s="218"/>
      <c r="D144" s="209"/>
      <c r="E144" s="209"/>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104"/>
      <c r="B145" s="101"/>
      <c r="C145" s="218"/>
      <c r="D145" s="209"/>
      <c r="E145" s="209"/>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104"/>
      <c r="B146" s="101"/>
      <c r="C146" s="218"/>
      <c r="D146" s="209"/>
      <c r="E146" s="209"/>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104"/>
      <c r="B147" s="101"/>
      <c r="C147" s="218"/>
      <c r="D147" s="209"/>
      <c r="E147" s="209"/>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104"/>
      <c r="B148" s="101"/>
      <c r="C148" s="218"/>
      <c r="D148" s="209"/>
      <c r="E148" s="209"/>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104"/>
      <c r="B149" s="101"/>
      <c r="C149" s="218"/>
      <c r="D149" s="209"/>
      <c r="E149" s="209"/>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104"/>
      <c r="B150" s="101"/>
      <c r="C150" s="218"/>
      <c r="D150" s="209"/>
      <c r="E150" s="209"/>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104"/>
      <c r="B151" s="101"/>
      <c r="C151" s="218"/>
      <c r="D151" s="209"/>
      <c r="E151" s="209"/>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104"/>
      <c r="B152" s="101"/>
      <c r="C152" s="218"/>
      <c r="D152" s="209"/>
      <c r="E152" s="209"/>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104"/>
      <c r="B153" s="101"/>
      <c r="C153" s="218"/>
      <c r="D153" s="209"/>
      <c r="E153" s="209"/>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104"/>
      <c r="B154" s="101"/>
      <c r="C154" s="218"/>
      <c r="D154" s="209"/>
      <c r="E154" s="209"/>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104"/>
      <c r="B155" s="101"/>
      <c r="C155" s="218"/>
      <c r="D155" s="209"/>
      <c r="E155" s="209"/>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104"/>
      <c r="B156" s="101"/>
      <c r="C156" s="218"/>
      <c r="D156" s="209"/>
      <c r="E156" s="209"/>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104"/>
      <c r="B157" s="101"/>
      <c r="C157" s="218"/>
      <c r="D157" s="209"/>
      <c r="E157" s="209"/>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104"/>
      <c r="B158" s="101"/>
      <c r="C158" s="218"/>
      <c r="D158" s="209"/>
      <c r="E158" s="209"/>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104"/>
      <c r="B159" s="101"/>
      <c r="C159" s="218"/>
      <c r="D159" s="209"/>
      <c r="E159" s="209"/>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104"/>
      <c r="B160" s="101"/>
      <c r="C160" s="218"/>
      <c r="D160" s="209"/>
      <c r="E160" s="209"/>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104"/>
      <c r="B161" s="101"/>
      <c r="C161" s="218"/>
      <c r="D161" s="209"/>
      <c r="E161" s="209"/>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104"/>
      <c r="B162" s="101"/>
      <c r="C162" s="218"/>
      <c r="D162" s="209"/>
      <c r="E162" s="209"/>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104"/>
      <c r="B163" s="101"/>
      <c r="C163" s="218"/>
      <c r="D163" s="209"/>
      <c r="E163" s="209"/>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104"/>
      <c r="B164" s="101"/>
      <c r="C164" s="218"/>
      <c r="D164" s="209"/>
      <c r="E164" s="209"/>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104"/>
      <c r="B165" s="101"/>
      <c r="C165" s="218"/>
      <c r="D165" s="209"/>
      <c r="E165" s="209"/>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104"/>
      <c r="B166" s="101"/>
      <c r="C166" s="218"/>
      <c r="D166" s="209"/>
      <c r="E166" s="209"/>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104"/>
      <c r="B167" s="101"/>
      <c r="C167" s="218"/>
      <c r="D167" s="209"/>
      <c r="E167" s="209"/>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104"/>
      <c r="B168" s="101"/>
      <c r="C168" s="218"/>
      <c r="D168" s="209"/>
      <c r="E168" s="209"/>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104"/>
      <c r="B169" s="101"/>
      <c r="C169" s="218"/>
      <c r="D169" s="209"/>
      <c r="E169" s="209"/>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104"/>
      <c r="B170" s="101"/>
      <c r="C170" s="218"/>
      <c r="D170" s="209"/>
      <c r="E170" s="209"/>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104"/>
      <c r="B171" s="101"/>
      <c r="C171" s="218"/>
      <c r="D171" s="209"/>
      <c r="E171" s="209"/>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104"/>
      <c r="B172" s="101"/>
      <c r="C172" s="218"/>
      <c r="D172" s="209"/>
      <c r="E172" s="209"/>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104"/>
      <c r="B173" s="101"/>
      <c r="C173" s="218"/>
      <c r="D173" s="209"/>
      <c r="E173" s="209"/>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104"/>
      <c r="B174" s="101"/>
      <c r="C174" s="218"/>
      <c r="D174" s="209"/>
      <c r="E174" s="209"/>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104"/>
      <c r="B175" s="101"/>
      <c r="C175" s="218"/>
      <c r="D175" s="209"/>
      <c r="E175" s="209"/>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104"/>
      <c r="B176" s="101"/>
      <c r="C176" s="218"/>
      <c r="D176" s="209"/>
      <c r="E176" s="209"/>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104"/>
      <c r="B177" s="101"/>
      <c r="C177" s="218"/>
      <c r="D177" s="209"/>
      <c r="E177" s="209"/>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104"/>
      <c r="B178" s="101"/>
      <c r="C178" s="218"/>
      <c r="D178" s="209"/>
      <c r="E178" s="209"/>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104"/>
      <c r="B179" s="101"/>
      <c r="C179" s="218"/>
      <c r="D179" s="209"/>
      <c r="E179" s="209"/>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104"/>
      <c r="B180" s="101"/>
      <c r="C180" s="218"/>
      <c r="D180" s="209"/>
      <c r="E180" s="209"/>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104"/>
      <c r="B181" s="101"/>
      <c r="C181" s="218"/>
      <c r="D181" s="209"/>
      <c r="E181" s="209"/>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104"/>
      <c r="B182" s="101"/>
      <c r="C182" s="218"/>
      <c r="D182" s="209"/>
      <c r="E182" s="209"/>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104"/>
      <c r="B183" s="101"/>
      <c r="C183" s="218"/>
      <c r="D183" s="209"/>
      <c r="E183" s="209"/>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104"/>
      <c r="B184" s="101"/>
      <c r="C184" s="218"/>
      <c r="D184" s="209"/>
      <c r="E184" s="209"/>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104"/>
      <c r="B185" s="101"/>
      <c r="C185" s="218"/>
      <c r="D185" s="209"/>
      <c r="E185" s="209"/>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104"/>
      <c r="B186" s="101"/>
      <c r="C186" s="218"/>
      <c r="D186" s="209"/>
      <c r="E186" s="209"/>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104"/>
      <c r="B187" s="101"/>
      <c r="C187" s="218"/>
      <c r="D187" s="209"/>
      <c r="E187" s="209"/>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104"/>
      <c r="B188" s="101"/>
      <c r="C188" s="218"/>
      <c r="D188" s="209"/>
      <c r="E188" s="209"/>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104"/>
      <c r="B189" s="101"/>
      <c r="C189" s="218"/>
      <c r="D189" s="209"/>
      <c r="E189" s="209"/>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104"/>
      <c r="B190" s="101"/>
      <c r="C190" s="218"/>
      <c r="D190" s="209"/>
      <c r="E190" s="209"/>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104"/>
      <c r="B191" s="101"/>
      <c r="C191" s="218"/>
      <c r="D191" s="209"/>
      <c r="E191" s="209"/>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104"/>
      <c r="B192" s="101"/>
      <c r="C192" s="218"/>
      <c r="D192" s="209"/>
      <c r="E192" s="209"/>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104"/>
      <c r="B193" s="101"/>
      <c r="C193" s="218"/>
      <c r="D193" s="209"/>
      <c r="E193" s="209"/>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104"/>
      <c r="B194" s="101"/>
      <c r="C194" s="218"/>
      <c r="D194" s="209"/>
      <c r="E194" s="209"/>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104"/>
      <c r="B195" s="101"/>
      <c r="C195" s="218"/>
      <c r="D195" s="209"/>
      <c r="E195" s="209"/>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104"/>
      <c r="B196" s="101"/>
      <c r="C196" s="218"/>
      <c r="D196" s="209"/>
      <c r="E196" s="209"/>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104"/>
      <c r="B197" s="101"/>
      <c r="C197" s="218"/>
      <c r="D197" s="209"/>
      <c r="E197" s="209"/>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104"/>
      <c r="B198" s="101"/>
      <c r="C198" s="218"/>
      <c r="D198" s="209"/>
      <c r="E198" s="209"/>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104"/>
      <c r="B199" s="101"/>
      <c r="C199" s="218"/>
      <c r="D199" s="209"/>
      <c r="E199" s="209"/>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104"/>
      <c r="B200" s="101"/>
      <c r="C200" s="218"/>
      <c r="D200" s="209"/>
      <c r="E200" s="209"/>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104"/>
      <c r="B201" s="101"/>
      <c r="C201" s="218"/>
      <c r="D201" s="209"/>
      <c r="E201" s="209"/>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104"/>
      <c r="B202" s="101"/>
      <c r="C202" s="218"/>
      <c r="D202" s="209"/>
      <c r="E202" s="209"/>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104"/>
      <c r="B203" s="101"/>
      <c r="C203" s="218"/>
      <c r="D203" s="209"/>
      <c r="E203" s="209"/>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104"/>
      <c r="B204" s="101"/>
      <c r="C204" s="218"/>
      <c r="D204" s="209"/>
      <c r="E204" s="209"/>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104"/>
      <c r="B205" s="101"/>
      <c r="C205" s="218"/>
      <c r="D205" s="209"/>
      <c r="E205" s="209"/>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104"/>
      <c r="B206" s="101"/>
      <c r="C206" s="218"/>
      <c r="D206" s="209"/>
      <c r="E206" s="209"/>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104"/>
      <c r="B207" s="101"/>
      <c r="C207" s="218"/>
      <c r="D207" s="209"/>
      <c r="E207" s="209"/>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104"/>
      <c r="B208" s="101"/>
      <c r="C208" s="218"/>
      <c r="D208" s="209"/>
      <c r="E208" s="209"/>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104"/>
      <c r="B209" s="101"/>
      <c r="C209" s="218"/>
      <c r="D209" s="209"/>
      <c r="E209" s="209"/>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104"/>
      <c r="B210" s="101"/>
      <c r="C210" s="218"/>
      <c r="D210" s="209"/>
      <c r="E210" s="209"/>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104"/>
      <c r="B211" s="101"/>
      <c r="C211" s="218"/>
      <c r="D211" s="209"/>
      <c r="E211" s="209"/>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104"/>
      <c r="B212" s="101"/>
      <c r="C212" s="218"/>
      <c r="D212" s="209"/>
      <c r="E212" s="209"/>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104"/>
      <c r="B213" s="101"/>
      <c r="C213" s="218"/>
      <c r="D213" s="209"/>
      <c r="E213" s="209"/>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104"/>
      <c r="B214" s="101"/>
      <c r="C214" s="218"/>
      <c r="D214" s="209"/>
      <c r="E214" s="209"/>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104"/>
      <c r="B215" s="101"/>
      <c r="C215" s="218"/>
      <c r="D215" s="209"/>
      <c r="E215" s="209"/>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104"/>
      <c r="B216" s="101"/>
      <c r="C216" s="218"/>
      <c r="D216" s="209"/>
      <c r="E216" s="209"/>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104"/>
      <c r="B217" s="101"/>
      <c r="C217" s="218"/>
      <c r="D217" s="209"/>
      <c r="E217" s="209"/>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104"/>
      <c r="B218" s="101"/>
      <c r="C218" s="218"/>
      <c r="D218" s="209"/>
      <c r="E218" s="209"/>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104"/>
      <c r="B219" s="101"/>
      <c r="C219" s="218"/>
      <c r="D219" s="209"/>
      <c r="E219" s="209"/>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104"/>
      <c r="B220" s="101"/>
      <c r="C220" s="218"/>
      <c r="D220" s="209"/>
      <c r="E220" s="209"/>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104"/>
      <c r="B221" s="101"/>
      <c r="C221" s="218"/>
      <c r="D221" s="209"/>
      <c r="E221" s="209"/>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104"/>
      <c r="B222" s="101"/>
      <c r="C222" s="218"/>
      <c r="D222" s="209"/>
      <c r="E222" s="209"/>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104"/>
      <c r="B223" s="101"/>
      <c r="C223" s="218"/>
      <c r="D223" s="209"/>
      <c r="E223" s="209"/>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104"/>
      <c r="B224" s="101"/>
      <c r="C224" s="218"/>
      <c r="D224" s="209"/>
      <c r="E224" s="209"/>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104"/>
      <c r="B225" s="101"/>
      <c r="C225" s="218"/>
      <c r="D225" s="209"/>
      <c r="E225" s="209"/>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104"/>
      <c r="B226" s="101"/>
      <c r="C226" s="218"/>
      <c r="D226" s="209"/>
      <c r="E226" s="209"/>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104"/>
      <c r="B227" s="101"/>
      <c r="C227" s="218"/>
      <c r="D227" s="209"/>
      <c r="E227" s="209"/>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104"/>
      <c r="B228" s="101"/>
      <c r="C228" s="218"/>
      <c r="D228" s="209"/>
      <c r="E228" s="209"/>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104"/>
      <c r="B229" s="101"/>
      <c r="C229" s="218"/>
      <c r="D229" s="209"/>
      <c r="E229" s="209"/>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104"/>
      <c r="B230" s="101"/>
      <c r="C230" s="218"/>
      <c r="D230" s="209"/>
      <c r="E230" s="209"/>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104"/>
      <c r="B231" s="101"/>
      <c r="C231" s="218"/>
      <c r="D231" s="209"/>
      <c r="E231" s="209"/>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104"/>
      <c r="B232" s="101"/>
      <c r="C232" s="218"/>
      <c r="D232" s="209"/>
      <c r="E232" s="209"/>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104"/>
      <c r="B233" s="101"/>
      <c r="C233" s="218"/>
      <c r="D233" s="209"/>
      <c r="E233" s="209"/>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104"/>
      <c r="B234" s="101"/>
      <c r="C234" s="218"/>
      <c r="D234" s="209"/>
      <c r="E234" s="209"/>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104"/>
      <c r="B235" s="101"/>
      <c r="C235" s="218"/>
      <c r="D235" s="209"/>
      <c r="E235" s="209"/>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104"/>
      <c r="B236" s="101"/>
      <c r="C236" s="218"/>
      <c r="D236" s="209"/>
      <c r="E236" s="209"/>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104"/>
      <c r="B237" s="101"/>
      <c r="C237" s="218"/>
      <c r="D237" s="209"/>
      <c r="E237" s="209"/>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104"/>
      <c r="B238" s="101"/>
      <c r="C238" s="218"/>
      <c r="D238" s="209"/>
      <c r="E238" s="209"/>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104"/>
      <c r="B239" s="101"/>
      <c r="C239" s="218"/>
      <c r="D239" s="209"/>
      <c r="E239" s="209"/>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104"/>
      <c r="B240" s="101"/>
      <c r="C240" s="218"/>
      <c r="D240" s="209"/>
      <c r="E240" s="209"/>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104"/>
      <c r="B241" s="101"/>
      <c r="C241" s="218"/>
      <c r="D241" s="209"/>
      <c r="E241" s="209"/>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104"/>
      <c r="B242" s="101"/>
      <c r="C242" s="218"/>
      <c r="D242" s="209"/>
      <c r="E242" s="209"/>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104"/>
      <c r="B243" s="101"/>
      <c r="C243" s="218"/>
      <c r="D243" s="209"/>
      <c r="E243" s="209"/>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104"/>
      <c r="B244" s="101"/>
      <c r="C244" s="218"/>
      <c r="D244" s="209"/>
      <c r="E244" s="209"/>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104"/>
      <c r="B245" s="101"/>
      <c r="C245" s="218"/>
      <c r="D245" s="209"/>
      <c r="E245" s="209"/>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104"/>
      <c r="B246" s="101"/>
      <c r="C246" s="218"/>
      <c r="D246" s="209"/>
      <c r="E246" s="209"/>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104"/>
      <c r="B247" s="101"/>
      <c r="C247" s="218"/>
      <c r="D247" s="209"/>
      <c r="E247" s="209"/>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104"/>
      <c r="B248" s="101"/>
      <c r="C248" s="218"/>
      <c r="D248" s="209"/>
      <c r="E248" s="209"/>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104"/>
      <c r="B249" s="101"/>
      <c r="C249" s="218"/>
      <c r="D249" s="209"/>
      <c r="E249" s="209"/>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104"/>
      <c r="B250" s="101"/>
      <c r="C250" s="218"/>
      <c r="D250" s="209"/>
      <c r="E250" s="209"/>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104"/>
      <c r="B251" s="101"/>
      <c r="C251" s="218"/>
      <c r="D251" s="209"/>
      <c r="E251" s="209"/>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104"/>
      <c r="B252" s="101"/>
      <c r="C252" s="218"/>
      <c r="D252" s="209"/>
      <c r="E252" s="209"/>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104"/>
      <c r="B253" s="101"/>
      <c r="C253" s="218"/>
      <c r="D253" s="209"/>
      <c r="E253" s="209"/>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104"/>
      <c r="B254" s="101"/>
      <c r="C254" s="218"/>
      <c r="D254" s="209"/>
      <c r="E254" s="209"/>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104"/>
      <c r="B255" s="101"/>
      <c r="C255" s="218"/>
      <c r="D255" s="209"/>
      <c r="E255" s="209"/>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104"/>
      <c r="B256" s="101"/>
      <c r="C256" s="218"/>
      <c r="D256" s="209"/>
      <c r="E256" s="209"/>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104"/>
      <c r="B257" s="101"/>
      <c r="C257" s="218"/>
      <c r="D257" s="209"/>
      <c r="E257" s="209"/>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104"/>
      <c r="B258" s="101"/>
      <c r="C258" s="218"/>
      <c r="D258" s="209"/>
      <c r="E258" s="209"/>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104"/>
      <c r="B259" s="101"/>
      <c r="C259" s="218"/>
      <c r="D259" s="209"/>
      <c r="E259" s="209"/>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104"/>
      <c r="B260" s="101"/>
      <c r="C260" s="218"/>
      <c r="D260" s="209"/>
      <c r="E260" s="209"/>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104"/>
      <c r="B261" s="101"/>
      <c r="C261" s="218"/>
      <c r="D261" s="209"/>
      <c r="E261" s="209"/>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104"/>
      <c r="B262" s="101"/>
      <c r="C262" s="218"/>
      <c r="D262" s="209"/>
      <c r="E262" s="209"/>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104"/>
      <c r="B263" s="101"/>
      <c r="C263" s="218"/>
      <c r="D263" s="209"/>
      <c r="E263" s="209"/>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104"/>
      <c r="B264" s="101"/>
      <c r="C264" s="218"/>
      <c r="D264" s="209"/>
      <c r="E264" s="209"/>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104"/>
      <c r="B265" s="101"/>
      <c r="C265" s="218"/>
      <c r="D265" s="209"/>
      <c r="E265" s="209"/>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104"/>
      <c r="B266" s="101"/>
      <c r="C266" s="218"/>
      <c r="D266" s="209"/>
      <c r="E266" s="209"/>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104"/>
      <c r="B267" s="101"/>
      <c r="C267" s="218"/>
      <c r="D267" s="209"/>
      <c r="E267" s="209"/>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104"/>
      <c r="B268" s="101"/>
      <c r="C268" s="218"/>
      <c r="D268" s="209"/>
      <c r="E268" s="209"/>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104"/>
      <c r="B269" s="101"/>
      <c r="C269" s="218"/>
      <c r="D269" s="209"/>
      <c r="E269" s="209"/>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104"/>
      <c r="B270" s="101"/>
      <c r="C270" s="218"/>
      <c r="D270" s="209"/>
      <c r="E270" s="209"/>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104"/>
      <c r="B271" s="101"/>
      <c r="C271" s="218"/>
      <c r="D271" s="209"/>
      <c r="E271" s="209"/>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104"/>
      <c r="B272" s="101"/>
      <c r="C272" s="218"/>
      <c r="D272" s="209"/>
      <c r="E272" s="209"/>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104"/>
      <c r="B273" s="101"/>
      <c r="C273" s="218"/>
      <c r="D273" s="209"/>
      <c r="E273" s="209"/>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104"/>
      <c r="B274" s="101"/>
      <c r="C274" s="218"/>
      <c r="D274" s="209"/>
      <c r="E274" s="209"/>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104"/>
      <c r="B275" s="101"/>
      <c r="C275" s="218"/>
      <c r="D275" s="209"/>
      <c r="E275" s="209"/>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104"/>
      <c r="B276" s="101"/>
      <c r="C276" s="218"/>
      <c r="D276" s="209"/>
      <c r="E276" s="209"/>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104"/>
      <c r="B277" s="101"/>
      <c r="C277" s="218"/>
      <c r="D277" s="209"/>
      <c r="E277" s="209"/>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104"/>
      <c r="B278" s="101"/>
      <c r="C278" s="218"/>
      <c r="D278" s="209"/>
      <c r="E278" s="209"/>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104"/>
      <c r="B279" s="101"/>
      <c r="C279" s="218"/>
      <c r="D279" s="209"/>
      <c r="E279" s="209"/>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104"/>
      <c r="B280" s="101"/>
      <c r="C280" s="218"/>
      <c r="D280" s="209"/>
      <c r="E280" s="209"/>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104"/>
      <c r="B281" s="101"/>
      <c r="C281" s="218"/>
      <c r="D281" s="209"/>
      <c r="E281" s="209"/>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104"/>
      <c r="B282" s="101"/>
      <c r="C282" s="218"/>
      <c r="D282" s="209"/>
      <c r="E282" s="209"/>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104"/>
      <c r="B283" s="101"/>
      <c r="C283" s="218"/>
      <c r="D283" s="209"/>
      <c r="E283" s="209"/>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104"/>
      <c r="B284" s="101"/>
      <c r="C284" s="218"/>
      <c r="D284" s="209"/>
      <c r="E284" s="209"/>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104"/>
      <c r="B285" s="101"/>
      <c r="C285" s="218"/>
      <c r="D285" s="209"/>
      <c r="E285" s="209"/>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104"/>
      <c r="B286" s="101"/>
      <c r="C286" s="218"/>
      <c r="D286" s="209"/>
      <c r="E286" s="209"/>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104"/>
      <c r="B287" s="101"/>
      <c r="C287" s="218"/>
      <c r="D287" s="209"/>
      <c r="E287" s="209"/>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104"/>
      <c r="B288" s="101"/>
      <c r="C288" s="218"/>
      <c r="D288" s="209"/>
      <c r="E288" s="209"/>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104"/>
      <c r="B289" s="101"/>
      <c r="C289" s="218"/>
      <c r="D289" s="209"/>
      <c r="E289" s="209"/>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104"/>
      <c r="B290" s="101"/>
      <c r="C290" s="218"/>
      <c r="D290" s="209"/>
      <c r="E290" s="209"/>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104"/>
      <c r="B291" s="101"/>
      <c r="C291" s="218"/>
      <c r="D291" s="209"/>
      <c r="E291" s="209"/>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104"/>
      <c r="B292" s="101"/>
      <c r="C292" s="218"/>
      <c r="D292" s="209"/>
      <c r="E292" s="209"/>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104"/>
      <c r="B293" s="101"/>
      <c r="C293" s="218"/>
      <c r="D293" s="209"/>
      <c r="E293" s="209"/>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104"/>
      <c r="B294" s="101"/>
      <c r="C294" s="218"/>
      <c r="D294" s="209"/>
      <c r="E294" s="209"/>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104"/>
      <c r="B295" s="101"/>
      <c r="C295" s="218"/>
      <c r="D295" s="209"/>
      <c r="E295" s="209"/>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104"/>
      <c r="B296" s="101"/>
      <c r="C296" s="218"/>
      <c r="D296" s="209"/>
      <c r="E296" s="209"/>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104"/>
      <c r="B297" s="101"/>
      <c r="C297" s="218"/>
      <c r="D297" s="209"/>
      <c r="E297" s="209"/>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104"/>
      <c r="B298" s="101"/>
      <c r="C298" s="218"/>
      <c r="D298" s="209"/>
      <c r="E298" s="209"/>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104"/>
      <c r="B299" s="101"/>
      <c r="C299" s="218"/>
      <c r="D299" s="209"/>
      <c r="E299" s="209"/>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104"/>
      <c r="B300" s="101"/>
      <c r="C300" s="218"/>
      <c r="D300" s="209"/>
      <c r="E300" s="209"/>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104"/>
      <c r="B301" s="101"/>
      <c r="C301" s="218"/>
      <c r="D301" s="209"/>
      <c r="E301" s="209"/>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104"/>
      <c r="B302" s="101"/>
      <c r="C302" s="218"/>
      <c r="D302" s="209"/>
      <c r="E302" s="209"/>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104"/>
      <c r="B303" s="101"/>
      <c r="C303" s="218"/>
      <c r="D303" s="209"/>
      <c r="E303" s="209"/>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104"/>
      <c r="B304" s="101"/>
      <c r="C304" s="218"/>
      <c r="D304" s="209"/>
      <c r="E304" s="209"/>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104"/>
      <c r="B305" s="101"/>
      <c r="C305" s="218"/>
      <c r="D305" s="209"/>
      <c r="E305" s="209"/>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104"/>
      <c r="B306" s="101"/>
      <c r="C306" s="218"/>
      <c r="D306" s="209"/>
      <c r="E306" s="209"/>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104"/>
      <c r="B307" s="101"/>
      <c r="C307" s="218"/>
      <c r="D307" s="209"/>
      <c r="E307" s="209"/>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104"/>
      <c r="B308" s="101"/>
      <c r="C308" s="218"/>
      <c r="D308" s="209"/>
      <c r="E308" s="209"/>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104"/>
      <c r="B309" s="101"/>
      <c r="C309" s="218"/>
      <c r="D309" s="209"/>
      <c r="E309" s="209"/>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104"/>
      <c r="B310" s="101"/>
      <c r="C310" s="218"/>
      <c r="D310" s="209"/>
      <c r="E310" s="209"/>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104"/>
      <c r="B311" s="101"/>
      <c r="C311" s="218"/>
      <c r="D311" s="209"/>
      <c r="E311" s="209"/>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104"/>
      <c r="B312" s="101"/>
      <c r="C312" s="218"/>
      <c r="D312" s="209"/>
      <c r="E312" s="209"/>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104"/>
      <c r="B313" s="101"/>
      <c r="C313" s="218"/>
      <c r="D313" s="209"/>
      <c r="E313" s="209"/>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104"/>
      <c r="B314" s="101"/>
      <c r="C314" s="218"/>
      <c r="D314" s="209"/>
      <c r="E314" s="209"/>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104"/>
      <c r="B315" s="101"/>
      <c r="C315" s="218"/>
      <c r="D315" s="209"/>
      <c r="E315" s="209"/>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104"/>
      <c r="B316" s="101"/>
      <c r="C316" s="218"/>
      <c r="D316" s="209"/>
      <c r="E316" s="209"/>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104"/>
      <c r="B317" s="101"/>
      <c r="C317" s="218"/>
      <c r="D317" s="209"/>
      <c r="E317" s="209"/>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104"/>
      <c r="B318" s="101"/>
      <c r="C318" s="218"/>
      <c r="D318" s="209"/>
      <c r="E318" s="209"/>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104"/>
      <c r="B319" s="101"/>
      <c r="C319" s="218"/>
      <c r="D319" s="209"/>
      <c r="E319" s="209"/>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104"/>
      <c r="B320" s="101"/>
      <c r="C320" s="218"/>
      <c r="D320" s="209"/>
      <c r="E320" s="209"/>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104"/>
      <c r="B321" s="101"/>
      <c r="C321" s="218"/>
      <c r="D321" s="209"/>
      <c r="E321" s="209"/>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104"/>
      <c r="B322" s="101"/>
      <c r="C322" s="218"/>
      <c r="D322" s="209"/>
      <c r="E322" s="209"/>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104"/>
      <c r="B323" s="101"/>
      <c r="C323" s="218"/>
      <c r="D323" s="209"/>
      <c r="E323" s="209"/>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104"/>
      <c r="B324" s="101"/>
      <c r="C324" s="218"/>
      <c r="D324" s="209"/>
      <c r="E324" s="209"/>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104"/>
      <c r="B325" s="101"/>
      <c r="C325" s="218"/>
      <c r="D325" s="209"/>
      <c r="E325" s="209"/>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104"/>
      <c r="B326" s="101"/>
      <c r="C326" s="218"/>
      <c r="D326" s="209"/>
      <c r="E326" s="209"/>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104"/>
      <c r="B327" s="101"/>
      <c r="C327" s="218"/>
      <c r="D327" s="209"/>
      <c r="E327" s="209"/>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104"/>
      <c r="B328" s="101"/>
      <c r="C328" s="218"/>
      <c r="D328" s="209"/>
      <c r="E328" s="209"/>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104"/>
      <c r="B329" s="101"/>
      <c r="C329" s="218"/>
      <c r="D329" s="209"/>
      <c r="E329" s="209"/>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104"/>
      <c r="B330" s="101"/>
      <c r="C330" s="218"/>
      <c r="D330" s="209"/>
      <c r="E330" s="209"/>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104"/>
      <c r="B331" s="101"/>
      <c r="C331" s="218"/>
      <c r="D331" s="209"/>
      <c r="E331" s="209"/>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104"/>
      <c r="B332" s="101"/>
      <c r="C332" s="218"/>
      <c r="D332" s="209"/>
      <c r="E332" s="209"/>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104"/>
      <c r="B333" s="101"/>
      <c r="C333" s="218"/>
      <c r="D333" s="209"/>
      <c r="E333" s="209"/>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104"/>
      <c r="B334" s="101"/>
      <c r="C334" s="218"/>
      <c r="D334" s="209"/>
      <c r="E334" s="209"/>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104"/>
      <c r="B335" s="101"/>
      <c r="C335" s="218"/>
      <c r="D335" s="209"/>
      <c r="E335" s="209"/>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104"/>
      <c r="B336" s="101"/>
      <c r="C336" s="218"/>
      <c r="D336" s="209"/>
      <c r="E336" s="209"/>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104"/>
      <c r="B337" s="101"/>
      <c r="C337" s="218"/>
      <c r="D337" s="209"/>
      <c r="E337" s="209"/>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104"/>
      <c r="B338" s="101"/>
      <c r="C338" s="218"/>
      <c r="D338" s="209"/>
      <c r="E338" s="209"/>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104"/>
      <c r="B339" s="101"/>
      <c r="C339" s="218"/>
      <c r="D339" s="209"/>
      <c r="E339" s="209"/>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104"/>
      <c r="B340" s="101"/>
      <c r="C340" s="218"/>
      <c r="D340" s="209"/>
      <c r="E340" s="209"/>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104"/>
      <c r="B341" s="101"/>
      <c r="C341" s="218"/>
      <c r="D341" s="209"/>
      <c r="E341" s="209"/>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218"/>
    </row>
    <row r="343" spans="1:25" customFormat="1" ht="15.75" customHeight="1" x14ac:dyDescent="0.2">
      <c r="C343" s="218"/>
    </row>
    <row r="344" spans="1:25" customFormat="1" ht="15.75" customHeight="1" x14ac:dyDescent="0.2">
      <c r="C344" s="218"/>
    </row>
    <row r="345" spans="1:25" customFormat="1" ht="15.75" customHeight="1" x14ac:dyDescent="0.2">
      <c r="C345" s="218"/>
    </row>
    <row r="346" spans="1:25" customFormat="1" ht="15.75" customHeight="1" x14ac:dyDescent="0.2">
      <c r="C346" s="218"/>
    </row>
    <row r="347" spans="1:25" customFormat="1" ht="15.75" customHeight="1" x14ac:dyDescent="0.2">
      <c r="C347" s="218"/>
    </row>
    <row r="348" spans="1:25" customFormat="1" ht="15.75" customHeight="1" x14ac:dyDescent="0.2">
      <c r="C348" s="218"/>
    </row>
    <row r="349" spans="1:25" customFormat="1" ht="15.75" customHeight="1" x14ac:dyDescent="0.2">
      <c r="C349" s="218"/>
    </row>
    <row r="350" spans="1:25" customFormat="1" ht="15.75" customHeight="1" x14ac:dyDescent="0.2">
      <c r="C350" s="218"/>
    </row>
    <row r="351" spans="1:25" customFormat="1" ht="15.75" customHeight="1" x14ac:dyDescent="0.2">
      <c r="C351" s="218"/>
    </row>
    <row r="352" spans="1:25" customFormat="1" ht="15.75" customHeight="1" x14ac:dyDescent="0.2">
      <c r="C352" s="218"/>
    </row>
    <row r="353" spans="3:3" customFormat="1" ht="15.75" customHeight="1" x14ac:dyDescent="0.2">
      <c r="C353" s="218"/>
    </row>
    <row r="354" spans="3:3" customFormat="1" ht="15.75" customHeight="1" x14ac:dyDescent="0.2">
      <c r="C354" s="218"/>
    </row>
    <row r="355" spans="3:3" customFormat="1" ht="15.75" customHeight="1" x14ac:dyDescent="0.2">
      <c r="C355" s="218"/>
    </row>
    <row r="356" spans="3:3" customFormat="1" ht="15.75" customHeight="1" x14ac:dyDescent="0.2">
      <c r="C356" s="218"/>
    </row>
    <row r="357" spans="3:3" customFormat="1" ht="15.75" customHeight="1" x14ac:dyDescent="0.2">
      <c r="C357" s="218"/>
    </row>
    <row r="358" spans="3:3" customFormat="1" ht="15.75" customHeight="1" x14ac:dyDescent="0.2">
      <c r="C358" s="218"/>
    </row>
    <row r="359" spans="3:3" customFormat="1" ht="15.75" customHeight="1" x14ac:dyDescent="0.2">
      <c r="C359" s="218"/>
    </row>
    <row r="360" spans="3:3" customFormat="1" ht="15.75" customHeight="1" x14ac:dyDescent="0.2">
      <c r="C360" s="218"/>
    </row>
    <row r="361" spans="3:3" customFormat="1" ht="15.75" customHeight="1" x14ac:dyDescent="0.2">
      <c r="C361" s="218"/>
    </row>
    <row r="362" spans="3:3" customFormat="1" ht="15.75" customHeight="1" x14ac:dyDescent="0.2">
      <c r="C362" s="218"/>
    </row>
    <row r="363" spans="3:3" customFormat="1" ht="15.75" customHeight="1" x14ac:dyDescent="0.2">
      <c r="C363" s="218"/>
    </row>
    <row r="364" spans="3:3" customFormat="1" ht="15.75" customHeight="1" x14ac:dyDescent="0.2">
      <c r="C364" s="218"/>
    </row>
    <row r="365" spans="3:3" customFormat="1" ht="15.75" customHeight="1" x14ac:dyDescent="0.2">
      <c r="C365" s="218"/>
    </row>
    <row r="366" spans="3:3" customFormat="1" ht="15.75" customHeight="1" x14ac:dyDescent="0.2">
      <c r="C366" s="218"/>
    </row>
    <row r="367" spans="3:3" customFormat="1" ht="15.75" customHeight="1" x14ac:dyDescent="0.2">
      <c r="C367" s="218"/>
    </row>
    <row r="368" spans="3:3" customFormat="1" ht="15.75" customHeight="1" x14ac:dyDescent="0.2">
      <c r="C368" s="218"/>
    </row>
    <row r="369" spans="3:3" customFormat="1" ht="15.75" customHeight="1" x14ac:dyDescent="0.2">
      <c r="C369" s="218"/>
    </row>
    <row r="370" spans="3:3" customFormat="1" ht="15.75" customHeight="1" x14ac:dyDescent="0.2">
      <c r="C370" s="218"/>
    </row>
    <row r="371" spans="3:3" customFormat="1" ht="15.75" customHeight="1" x14ac:dyDescent="0.2">
      <c r="C371" s="218"/>
    </row>
    <row r="372" spans="3:3" customFormat="1" ht="15.75" customHeight="1" x14ac:dyDescent="0.2">
      <c r="C372" s="218"/>
    </row>
    <row r="373" spans="3:3" customFormat="1" ht="15.75" customHeight="1" x14ac:dyDescent="0.2">
      <c r="C373" s="218"/>
    </row>
    <row r="374" spans="3:3" customFormat="1" ht="15.75" customHeight="1" x14ac:dyDescent="0.2">
      <c r="C374" s="218"/>
    </row>
    <row r="375" spans="3:3" customFormat="1" ht="15.75" customHeight="1" x14ac:dyDescent="0.2">
      <c r="C375" s="218"/>
    </row>
    <row r="376" spans="3:3" customFormat="1" ht="15.75" customHeight="1" x14ac:dyDescent="0.2">
      <c r="C376" s="218"/>
    </row>
    <row r="377" spans="3:3" customFormat="1" ht="15.75" customHeight="1" x14ac:dyDescent="0.2">
      <c r="C377" s="218"/>
    </row>
    <row r="378" spans="3:3" customFormat="1" ht="15.75" customHeight="1" x14ac:dyDescent="0.2">
      <c r="C378" s="218"/>
    </row>
    <row r="379" spans="3:3" customFormat="1" ht="15.75" customHeight="1" x14ac:dyDescent="0.2">
      <c r="C379" s="218"/>
    </row>
    <row r="380" spans="3:3" customFormat="1" ht="15.75" customHeight="1" x14ac:dyDescent="0.2">
      <c r="C380" s="218"/>
    </row>
    <row r="381" spans="3:3" customFormat="1" ht="15.75" customHeight="1" x14ac:dyDescent="0.2">
      <c r="C381" s="218"/>
    </row>
    <row r="382" spans="3:3" customFormat="1" ht="15.75" customHeight="1" x14ac:dyDescent="0.2">
      <c r="C382" s="218"/>
    </row>
    <row r="383" spans="3:3" customFormat="1" ht="15.75" customHeight="1" x14ac:dyDescent="0.2">
      <c r="C383" s="218"/>
    </row>
    <row r="384" spans="3:3" customFormat="1" ht="15.75" customHeight="1" x14ac:dyDescent="0.2">
      <c r="C384" s="218"/>
    </row>
    <row r="385" spans="3:3" customFormat="1" ht="15.75" customHeight="1" x14ac:dyDescent="0.2">
      <c r="C385" s="218"/>
    </row>
    <row r="386" spans="3:3" customFormat="1" ht="15.75" customHeight="1" x14ac:dyDescent="0.2">
      <c r="C386" s="218"/>
    </row>
    <row r="387" spans="3:3" customFormat="1" ht="15.75" customHeight="1" x14ac:dyDescent="0.2">
      <c r="C387" s="218"/>
    </row>
    <row r="388" spans="3:3" customFormat="1" ht="15.75" customHeight="1" x14ac:dyDescent="0.2">
      <c r="C388" s="218"/>
    </row>
    <row r="389" spans="3:3" customFormat="1" ht="15.75" customHeight="1" x14ac:dyDescent="0.2">
      <c r="C389" s="218"/>
    </row>
    <row r="390" spans="3:3" customFormat="1" ht="15.75" customHeight="1" x14ac:dyDescent="0.2">
      <c r="C390" s="218"/>
    </row>
    <row r="391" spans="3:3" customFormat="1" ht="15.75" customHeight="1" x14ac:dyDescent="0.2">
      <c r="C391" s="218"/>
    </row>
    <row r="392" spans="3:3" customFormat="1" ht="15.75" customHeight="1" x14ac:dyDescent="0.2">
      <c r="C392" s="218"/>
    </row>
    <row r="393" spans="3:3" customFormat="1" ht="15.75" customHeight="1" x14ac:dyDescent="0.2">
      <c r="C393" s="218"/>
    </row>
    <row r="394" spans="3:3" customFormat="1" ht="15.75" customHeight="1" x14ac:dyDescent="0.2">
      <c r="C394" s="218"/>
    </row>
    <row r="395" spans="3:3" customFormat="1" ht="15.75" customHeight="1" x14ac:dyDescent="0.2">
      <c r="C395" s="218"/>
    </row>
    <row r="396" spans="3:3" customFormat="1" ht="15.75" customHeight="1" x14ac:dyDescent="0.2">
      <c r="C396" s="218"/>
    </row>
    <row r="397" spans="3:3" customFormat="1" ht="15.75" customHeight="1" x14ac:dyDescent="0.2">
      <c r="C397" s="218"/>
    </row>
    <row r="398" spans="3:3" customFormat="1" ht="15.75" customHeight="1" x14ac:dyDescent="0.2">
      <c r="C398" s="218"/>
    </row>
    <row r="399" spans="3:3" customFormat="1" ht="15.75" customHeight="1" x14ac:dyDescent="0.2">
      <c r="C399" s="218"/>
    </row>
    <row r="400" spans="3:3" customFormat="1" ht="15.75" customHeight="1" x14ac:dyDescent="0.2">
      <c r="C400" s="218"/>
    </row>
    <row r="401" spans="3:3" customFormat="1" ht="15.75" customHeight="1" x14ac:dyDescent="0.2">
      <c r="C401" s="218"/>
    </row>
    <row r="402" spans="3:3" customFormat="1" ht="15.75" customHeight="1" x14ac:dyDescent="0.2">
      <c r="C402" s="218"/>
    </row>
    <row r="403" spans="3:3" customFormat="1" ht="15.75" customHeight="1" x14ac:dyDescent="0.2">
      <c r="C403" s="218"/>
    </row>
    <row r="404" spans="3:3" customFormat="1" ht="15.75" customHeight="1" x14ac:dyDescent="0.2">
      <c r="C404" s="218"/>
    </row>
    <row r="405" spans="3:3" customFormat="1" ht="15.75" customHeight="1" x14ac:dyDescent="0.2">
      <c r="C405" s="218"/>
    </row>
    <row r="406" spans="3:3" customFormat="1" ht="15.75" customHeight="1" x14ac:dyDescent="0.2">
      <c r="C406" s="218"/>
    </row>
    <row r="407" spans="3:3" customFormat="1" ht="15.75" customHeight="1" x14ac:dyDescent="0.2">
      <c r="C407" s="218"/>
    </row>
    <row r="408" spans="3:3" customFormat="1" ht="15.75" customHeight="1" x14ac:dyDescent="0.2">
      <c r="C408" s="218"/>
    </row>
    <row r="409" spans="3:3" customFormat="1" ht="15.75" customHeight="1" x14ac:dyDescent="0.2">
      <c r="C409" s="218"/>
    </row>
    <row r="410" spans="3:3" customFormat="1" ht="15.75" customHeight="1" x14ac:dyDescent="0.2">
      <c r="C410" s="218"/>
    </row>
    <row r="411" spans="3:3" customFormat="1" ht="15.75" customHeight="1" x14ac:dyDescent="0.2">
      <c r="C411" s="218"/>
    </row>
    <row r="412" spans="3:3" customFormat="1" ht="15.75" customHeight="1" x14ac:dyDescent="0.2">
      <c r="C412" s="218"/>
    </row>
    <row r="413" spans="3:3" customFormat="1" ht="15.75" customHeight="1" x14ac:dyDescent="0.2">
      <c r="C413" s="218"/>
    </row>
    <row r="414" spans="3:3" customFormat="1" ht="15.75" customHeight="1" x14ac:dyDescent="0.2">
      <c r="C414" s="218"/>
    </row>
    <row r="415" spans="3:3" customFormat="1" ht="15.75" customHeight="1" x14ac:dyDescent="0.2">
      <c r="C415" s="218"/>
    </row>
    <row r="416" spans="3:3" customFormat="1" ht="15.75" customHeight="1" x14ac:dyDescent="0.2">
      <c r="C416" s="218"/>
    </row>
    <row r="417" spans="3:3" customFormat="1" ht="15.75" customHeight="1" x14ac:dyDescent="0.2">
      <c r="C417" s="218"/>
    </row>
    <row r="418" spans="3:3" customFormat="1" ht="15.75" customHeight="1" x14ac:dyDescent="0.2">
      <c r="C418" s="218"/>
    </row>
    <row r="419" spans="3:3" customFormat="1" ht="15.75" customHeight="1" x14ac:dyDescent="0.2">
      <c r="C419" s="218"/>
    </row>
    <row r="420" spans="3:3" customFormat="1" ht="15.75" customHeight="1" x14ac:dyDescent="0.2">
      <c r="C420" s="218"/>
    </row>
    <row r="421" spans="3:3" customFormat="1" ht="15.75" customHeight="1" x14ac:dyDescent="0.2">
      <c r="C421" s="218"/>
    </row>
    <row r="422" spans="3:3" customFormat="1" ht="15.75" customHeight="1" x14ac:dyDescent="0.2">
      <c r="C422" s="218"/>
    </row>
    <row r="423" spans="3:3" customFormat="1" ht="15.75" customHeight="1" x14ac:dyDescent="0.2">
      <c r="C423" s="218"/>
    </row>
    <row r="424" spans="3:3" customFormat="1" ht="15.75" customHeight="1" x14ac:dyDescent="0.2">
      <c r="C424" s="218"/>
    </row>
    <row r="425" spans="3:3" customFormat="1" ht="15.75" customHeight="1" x14ac:dyDescent="0.2">
      <c r="C425" s="218"/>
    </row>
    <row r="426" spans="3:3" customFormat="1" ht="15.75" customHeight="1" x14ac:dyDescent="0.2">
      <c r="C426" s="218"/>
    </row>
    <row r="427" spans="3:3" customFormat="1" ht="15.75" customHeight="1" x14ac:dyDescent="0.2">
      <c r="C427" s="218"/>
    </row>
    <row r="428" spans="3:3" customFormat="1" ht="15.75" customHeight="1" x14ac:dyDescent="0.2">
      <c r="C428" s="218"/>
    </row>
    <row r="429" spans="3:3" customFormat="1" ht="15.75" customHeight="1" x14ac:dyDescent="0.2">
      <c r="C429" s="218"/>
    </row>
    <row r="430" spans="3:3" customFormat="1" ht="15.75" customHeight="1" x14ac:dyDescent="0.2">
      <c r="C430" s="218"/>
    </row>
    <row r="431" spans="3:3" customFormat="1" ht="15.75" customHeight="1" x14ac:dyDescent="0.2">
      <c r="C431" s="218"/>
    </row>
    <row r="432" spans="3:3" customFormat="1" ht="15.75" customHeight="1" x14ac:dyDescent="0.2">
      <c r="C432" s="218"/>
    </row>
    <row r="433" spans="3:3" customFormat="1" ht="15.75" customHeight="1" x14ac:dyDescent="0.2">
      <c r="C433" s="218"/>
    </row>
    <row r="434" spans="3:3" customFormat="1" ht="15.75" customHeight="1" x14ac:dyDescent="0.2">
      <c r="C434" s="218"/>
    </row>
    <row r="435" spans="3:3" customFormat="1" ht="15.75" customHeight="1" x14ac:dyDescent="0.2">
      <c r="C435" s="218"/>
    </row>
    <row r="436" spans="3:3" customFormat="1" ht="15.75" customHeight="1" x14ac:dyDescent="0.2">
      <c r="C436" s="218"/>
    </row>
    <row r="437" spans="3:3" customFormat="1" ht="15.75" customHeight="1" x14ac:dyDescent="0.2">
      <c r="C437" s="218"/>
    </row>
    <row r="438" spans="3:3" customFormat="1" ht="15.75" customHeight="1" x14ac:dyDescent="0.2">
      <c r="C438" s="218"/>
    </row>
    <row r="439" spans="3:3" customFormat="1" ht="15.75" customHeight="1" x14ac:dyDescent="0.2">
      <c r="C439" s="218"/>
    </row>
    <row r="440" spans="3:3" customFormat="1" ht="15.75" customHeight="1" x14ac:dyDescent="0.2">
      <c r="C440" s="218"/>
    </row>
    <row r="441" spans="3:3" customFormat="1" ht="15.75" customHeight="1" x14ac:dyDescent="0.2">
      <c r="C441" s="218"/>
    </row>
    <row r="442" spans="3:3" customFormat="1" ht="15.75" customHeight="1" x14ac:dyDescent="0.2">
      <c r="C442" s="218"/>
    </row>
    <row r="443" spans="3:3" customFormat="1" ht="15.75" customHeight="1" x14ac:dyDescent="0.2">
      <c r="C443" s="218"/>
    </row>
    <row r="444" spans="3:3" customFormat="1" ht="15.75" customHeight="1" x14ac:dyDescent="0.2">
      <c r="C444" s="218"/>
    </row>
    <row r="445" spans="3:3" customFormat="1" ht="15.75" customHeight="1" x14ac:dyDescent="0.2">
      <c r="C445" s="218"/>
    </row>
    <row r="446" spans="3:3" customFormat="1" ht="15.75" customHeight="1" x14ac:dyDescent="0.2">
      <c r="C446" s="218"/>
    </row>
    <row r="447" spans="3:3" customFormat="1" ht="15.75" customHeight="1" x14ac:dyDescent="0.2">
      <c r="C447" s="218"/>
    </row>
    <row r="448" spans="3:3" customFormat="1" ht="15.75" customHeight="1" x14ac:dyDescent="0.2">
      <c r="C448" s="218"/>
    </row>
    <row r="449" spans="3:3" customFormat="1" ht="15.75" customHeight="1" x14ac:dyDescent="0.2">
      <c r="C449" s="218"/>
    </row>
    <row r="450" spans="3:3" customFormat="1" ht="15.75" customHeight="1" x14ac:dyDescent="0.2">
      <c r="C450" s="218"/>
    </row>
    <row r="451" spans="3:3" customFormat="1" ht="15.75" customHeight="1" x14ac:dyDescent="0.2">
      <c r="C451" s="218"/>
    </row>
    <row r="452" spans="3:3" customFormat="1" ht="15.75" customHeight="1" x14ac:dyDescent="0.2">
      <c r="C452" s="218"/>
    </row>
    <row r="453" spans="3:3" customFormat="1" ht="15.75" customHeight="1" x14ac:dyDescent="0.2">
      <c r="C453" s="218"/>
    </row>
    <row r="454" spans="3:3" customFormat="1" ht="15.75" customHeight="1" x14ac:dyDescent="0.2">
      <c r="C454" s="218"/>
    </row>
    <row r="455" spans="3:3" customFormat="1" ht="15.75" customHeight="1" x14ac:dyDescent="0.2">
      <c r="C455" s="218"/>
    </row>
    <row r="456" spans="3:3" customFormat="1" ht="15.75" customHeight="1" x14ac:dyDescent="0.2">
      <c r="C456" s="218"/>
    </row>
    <row r="457" spans="3:3" customFormat="1" ht="15.75" customHeight="1" x14ac:dyDescent="0.2">
      <c r="C457" s="218"/>
    </row>
    <row r="458" spans="3:3" customFormat="1" ht="15.75" customHeight="1" x14ac:dyDescent="0.2">
      <c r="C458" s="218"/>
    </row>
    <row r="459" spans="3:3" customFormat="1" ht="15.75" customHeight="1" x14ac:dyDescent="0.2">
      <c r="C459" s="218"/>
    </row>
    <row r="460" spans="3:3" customFormat="1" ht="15.75" customHeight="1" x14ac:dyDescent="0.2">
      <c r="C460" s="218"/>
    </row>
    <row r="461" spans="3:3" customFormat="1" ht="15.75" customHeight="1" x14ac:dyDescent="0.2">
      <c r="C461" s="218"/>
    </row>
    <row r="462" spans="3:3" customFormat="1" ht="15.75" customHeight="1" x14ac:dyDescent="0.2">
      <c r="C462" s="218"/>
    </row>
    <row r="463" spans="3:3" customFormat="1" ht="15.75" customHeight="1" x14ac:dyDescent="0.2">
      <c r="C463" s="218"/>
    </row>
    <row r="464" spans="3:3" customFormat="1" ht="15.75" customHeight="1" x14ac:dyDescent="0.2">
      <c r="C464" s="218"/>
    </row>
    <row r="465" spans="3:3" customFormat="1" ht="15.75" customHeight="1" x14ac:dyDescent="0.2">
      <c r="C465" s="218"/>
    </row>
    <row r="466" spans="3:3" customFormat="1" ht="15.75" customHeight="1" x14ac:dyDescent="0.2">
      <c r="C466" s="218"/>
    </row>
    <row r="467" spans="3:3" customFormat="1" ht="15.75" customHeight="1" x14ac:dyDescent="0.2">
      <c r="C467" s="218"/>
    </row>
    <row r="468" spans="3:3" customFormat="1" ht="15.75" customHeight="1" x14ac:dyDescent="0.2">
      <c r="C468" s="218"/>
    </row>
    <row r="469" spans="3:3" customFormat="1" ht="15.75" customHeight="1" x14ac:dyDescent="0.2">
      <c r="C469" s="218"/>
    </row>
    <row r="470" spans="3:3" customFormat="1" ht="15.75" customHeight="1" x14ac:dyDescent="0.2">
      <c r="C470" s="218"/>
    </row>
    <row r="471" spans="3:3" customFormat="1" ht="15.75" customHeight="1" x14ac:dyDescent="0.2">
      <c r="C471" s="218"/>
    </row>
    <row r="472" spans="3:3" customFormat="1" ht="15.75" customHeight="1" x14ac:dyDescent="0.2">
      <c r="C472" s="218"/>
    </row>
    <row r="473" spans="3:3" customFormat="1" ht="15.75" customHeight="1" x14ac:dyDescent="0.2">
      <c r="C473" s="218"/>
    </row>
    <row r="474" spans="3:3" customFormat="1" ht="15.75" customHeight="1" x14ac:dyDescent="0.2">
      <c r="C474" s="218"/>
    </row>
    <row r="475" spans="3:3" customFormat="1" ht="15.75" customHeight="1" x14ac:dyDescent="0.2">
      <c r="C475" s="218"/>
    </row>
    <row r="476" spans="3:3" customFormat="1" ht="15.75" customHeight="1" x14ac:dyDescent="0.2">
      <c r="C476" s="218"/>
    </row>
    <row r="477" spans="3:3" customFormat="1" ht="15.75" customHeight="1" x14ac:dyDescent="0.2">
      <c r="C477" s="218"/>
    </row>
    <row r="478" spans="3:3" customFormat="1" ht="15.75" customHeight="1" x14ac:dyDescent="0.2">
      <c r="C478" s="218"/>
    </row>
    <row r="479" spans="3:3" customFormat="1" ht="15.75" customHeight="1" x14ac:dyDescent="0.2">
      <c r="C479" s="218"/>
    </row>
    <row r="480" spans="3:3" customFormat="1" ht="15.75" customHeight="1" x14ac:dyDescent="0.2">
      <c r="C480" s="218"/>
    </row>
    <row r="481" spans="3:3" customFormat="1" ht="15.75" customHeight="1" x14ac:dyDescent="0.2">
      <c r="C481" s="218"/>
    </row>
    <row r="482" spans="3:3" customFormat="1" ht="15.75" customHeight="1" x14ac:dyDescent="0.2">
      <c r="C482" s="218"/>
    </row>
    <row r="483" spans="3:3" customFormat="1" ht="15.75" customHeight="1" x14ac:dyDescent="0.2">
      <c r="C483" s="218"/>
    </row>
    <row r="484" spans="3:3" customFormat="1" ht="15.75" customHeight="1" x14ac:dyDescent="0.2">
      <c r="C484" s="218"/>
    </row>
    <row r="485" spans="3:3" customFormat="1" ht="15.75" customHeight="1" x14ac:dyDescent="0.2">
      <c r="C485" s="218"/>
    </row>
    <row r="486" spans="3:3" customFormat="1" ht="15.75" customHeight="1" x14ac:dyDescent="0.2">
      <c r="C486" s="218"/>
    </row>
    <row r="487" spans="3:3" customFormat="1" ht="15.75" customHeight="1" x14ac:dyDescent="0.2">
      <c r="C487" s="218"/>
    </row>
    <row r="488" spans="3:3" customFormat="1" ht="15.75" customHeight="1" x14ac:dyDescent="0.2">
      <c r="C488" s="218"/>
    </row>
    <row r="489" spans="3:3" customFormat="1" ht="15.75" customHeight="1" x14ac:dyDescent="0.2">
      <c r="C489" s="218"/>
    </row>
    <row r="490" spans="3:3" customFormat="1" ht="15.75" customHeight="1" x14ac:dyDescent="0.2">
      <c r="C490" s="218"/>
    </row>
    <row r="491" spans="3:3" customFormat="1" ht="15.75" customHeight="1" x14ac:dyDescent="0.2">
      <c r="C491" s="218"/>
    </row>
    <row r="492" spans="3:3" customFormat="1" ht="15.75" customHeight="1" x14ac:dyDescent="0.2">
      <c r="C492" s="218"/>
    </row>
    <row r="493" spans="3:3" customFormat="1" ht="15.75" customHeight="1" x14ac:dyDescent="0.2">
      <c r="C493" s="218"/>
    </row>
    <row r="494" spans="3:3" customFormat="1" ht="15.75" customHeight="1" x14ac:dyDescent="0.2">
      <c r="C494" s="218"/>
    </row>
    <row r="495" spans="3:3" customFormat="1" ht="15.75" customHeight="1" x14ac:dyDescent="0.2">
      <c r="C495" s="218"/>
    </row>
    <row r="496" spans="3:3" customFormat="1" ht="15.75" customHeight="1" x14ac:dyDescent="0.2">
      <c r="C496" s="218"/>
    </row>
    <row r="497" spans="3:3" customFormat="1" ht="15.75" customHeight="1" x14ac:dyDescent="0.2">
      <c r="C497" s="218"/>
    </row>
    <row r="498" spans="3:3" customFormat="1" ht="15.75" customHeight="1" x14ac:dyDescent="0.2">
      <c r="C498" s="218"/>
    </row>
    <row r="499" spans="3:3" customFormat="1" ht="15.75" customHeight="1" x14ac:dyDescent="0.2">
      <c r="C499" s="218"/>
    </row>
    <row r="500" spans="3:3" customFormat="1" ht="15.75" customHeight="1" x14ac:dyDescent="0.2">
      <c r="C500" s="218"/>
    </row>
    <row r="501" spans="3:3" customFormat="1" ht="15.75" customHeight="1" x14ac:dyDescent="0.2">
      <c r="C501" s="218"/>
    </row>
    <row r="502" spans="3:3" customFormat="1" ht="15.75" customHeight="1" x14ac:dyDescent="0.2">
      <c r="C502" s="218"/>
    </row>
    <row r="503" spans="3:3" customFormat="1" ht="15.75" customHeight="1" x14ac:dyDescent="0.2">
      <c r="C503" s="218"/>
    </row>
    <row r="504" spans="3:3" customFormat="1" ht="15.75" customHeight="1" x14ac:dyDescent="0.2">
      <c r="C504" s="218"/>
    </row>
    <row r="505" spans="3:3" customFormat="1" ht="15.75" customHeight="1" x14ac:dyDescent="0.2">
      <c r="C505" s="218"/>
    </row>
    <row r="506" spans="3:3" customFormat="1" ht="15.75" customHeight="1" x14ac:dyDescent="0.2">
      <c r="C506" s="218"/>
    </row>
    <row r="507" spans="3:3" customFormat="1" ht="15.75" customHeight="1" x14ac:dyDescent="0.2">
      <c r="C507" s="218"/>
    </row>
    <row r="508" spans="3:3" customFormat="1" ht="15.75" customHeight="1" x14ac:dyDescent="0.2">
      <c r="C508" s="218"/>
    </row>
    <row r="509" spans="3:3" customFormat="1" ht="15.75" customHeight="1" x14ac:dyDescent="0.2">
      <c r="C509" s="218"/>
    </row>
    <row r="510" spans="3:3" customFormat="1" ht="15.75" customHeight="1" x14ac:dyDescent="0.2">
      <c r="C510" s="218"/>
    </row>
    <row r="511" spans="3:3" customFormat="1" ht="15.75" customHeight="1" x14ac:dyDescent="0.2">
      <c r="C511" s="218"/>
    </row>
    <row r="512" spans="3:3" customFormat="1" ht="15.75" customHeight="1" x14ac:dyDescent="0.2">
      <c r="C512" s="218"/>
    </row>
    <row r="513" spans="3:3" customFormat="1" ht="15.75" customHeight="1" x14ac:dyDescent="0.2">
      <c r="C513" s="218"/>
    </row>
    <row r="514" spans="3:3" customFormat="1" ht="15.75" customHeight="1" x14ac:dyDescent="0.2">
      <c r="C514" s="218"/>
    </row>
    <row r="515" spans="3:3" customFormat="1" ht="15.75" customHeight="1" x14ac:dyDescent="0.2">
      <c r="C515" s="218"/>
    </row>
    <row r="516" spans="3:3" customFormat="1" ht="15.75" customHeight="1" x14ac:dyDescent="0.2">
      <c r="C516" s="218"/>
    </row>
    <row r="517" spans="3:3" customFormat="1" ht="15.75" customHeight="1" x14ac:dyDescent="0.2">
      <c r="C517" s="218"/>
    </row>
    <row r="518" spans="3:3" customFormat="1" ht="15.75" customHeight="1" x14ac:dyDescent="0.2">
      <c r="C518" s="218"/>
    </row>
    <row r="519" spans="3:3" customFormat="1" ht="15.75" customHeight="1" x14ac:dyDescent="0.2">
      <c r="C519" s="218"/>
    </row>
    <row r="520" spans="3:3" customFormat="1" ht="15.75" customHeight="1" x14ac:dyDescent="0.2">
      <c r="C520" s="218"/>
    </row>
    <row r="521" spans="3:3" customFormat="1" ht="15.75" customHeight="1" x14ac:dyDescent="0.2">
      <c r="C521" s="218"/>
    </row>
    <row r="522" spans="3:3" customFormat="1" ht="15.75" customHeight="1" x14ac:dyDescent="0.2">
      <c r="C522" s="218"/>
    </row>
    <row r="523" spans="3:3" customFormat="1" ht="15.75" customHeight="1" x14ac:dyDescent="0.2">
      <c r="C523" s="218"/>
    </row>
    <row r="524" spans="3:3" customFormat="1" ht="15.75" customHeight="1" x14ac:dyDescent="0.2">
      <c r="C524" s="218"/>
    </row>
    <row r="525" spans="3:3" customFormat="1" ht="15.75" customHeight="1" x14ac:dyDescent="0.2">
      <c r="C525" s="218"/>
    </row>
    <row r="526" spans="3:3" customFormat="1" ht="15.75" customHeight="1" x14ac:dyDescent="0.2">
      <c r="C526" s="218"/>
    </row>
    <row r="527" spans="3:3" customFormat="1" ht="15.75" customHeight="1" x14ac:dyDescent="0.2">
      <c r="C527" s="218"/>
    </row>
    <row r="528" spans="3:3" customFormat="1" ht="15.75" customHeight="1" x14ac:dyDescent="0.2">
      <c r="C528" s="218"/>
    </row>
    <row r="529" spans="3:3" customFormat="1" ht="15.75" customHeight="1" x14ac:dyDescent="0.2">
      <c r="C529" s="218"/>
    </row>
    <row r="530" spans="3:3" customFormat="1" ht="15.75" customHeight="1" x14ac:dyDescent="0.2">
      <c r="C530" s="218"/>
    </row>
    <row r="531" spans="3:3" customFormat="1" ht="15.75" customHeight="1" x14ac:dyDescent="0.2">
      <c r="C531" s="218"/>
    </row>
    <row r="532" spans="3:3" customFormat="1" ht="15.75" customHeight="1" x14ac:dyDescent="0.2">
      <c r="C532" s="218"/>
    </row>
    <row r="533" spans="3:3" customFormat="1" ht="15.75" customHeight="1" x14ac:dyDescent="0.2">
      <c r="C533" s="218"/>
    </row>
    <row r="534" spans="3:3" customFormat="1" ht="15.75" customHeight="1" x14ac:dyDescent="0.2">
      <c r="C534" s="218"/>
    </row>
    <row r="535" spans="3:3" customFormat="1" ht="15.75" customHeight="1" x14ac:dyDescent="0.2">
      <c r="C535" s="218"/>
    </row>
    <row r="536" spans="3:3" customFormat="1" ht="15.75" customHeight="1" x14ac:dyDescent="0.2">
      <c r="C536" s="218"/>
    </row>
    <row r="537" spans="3:3" customFormat="1" ht="15.75" customHeight="1" x14ac:dyDescent="0.2">
      <c r="C537" s="218"/>
    </row>
    <row r="538" spans="3:3" customFormat="1" ht="15.75" customHeight="1" x14ac:dyDescent="0.2">
      <c r="C538" s="218"/>
    </row>
    <row r="539" spans="3:3" customFormat="1" ht="15.75" customHeight="1" x14ac:dyDescent="0.2">
      <c r="C539" s="218"/>
    </row>
    <row r="540" spans="3:3" customFormat="1" ht="15.75" customHeight="1" x14ac:dyDescent="0.2">
      <c r="C540" s="218"/>
    </row>
    <row r="541" spans="3:3" customFormat="1" ht="15.75" customHeight="1" x14ac:dyDescent="0.2">
      <c r="C541" s="218"/>
    </row>
    <row r="542" spans="3:3" customFormat="1" ht="15.75" customHeight="1" x14ac:dyDescent="0.2">
      <c r="C542" s="218"/>
    </row>
    <row r="543" spans="3:3" customFormat="1" ht="15.75" customHeight="1" x14ac:dyDescent="0.2">
      <c r="C543" s="218"/>
    </row>
    <row r="544" spans="3:3" customFormat="1" ht="15.75" customHeight="1" x14ac:dyDescent="0.2">
      <c r="C544" s="218"/>
    </row>
    <row r="545" spans="3:3" customFormat="1" ht="15.75" customHeight="1" x14ac:dyDescent="0.2">
      <c r="C545" s="218"/>
    </row>
    <row r="546" spans="3:3" customFormat="1" ht="15.75" customHeight="1" x14ac:dyDescent="0.2">
      <c r="C546" s="218"/>
    </row>
    <row r="547" spans="3:3" customFormat="1" ht="15.75" customHeight="1" x14ac:dyDescent="0.2">
      <c r="C547" s="218"/>
    </row>
    <row r="548" spans="3:3" customFormat="1" ht="15.75" customHeight="1" x14ac:dyDescent="0.2">
      <c r="C548" s="218"/>
    </row>
    <row r="549" spans="3:3" customFormat="1" ht="15.75" customHeight="1" x14ac:dyDescent="0.2">
      <c r="C549" s="218"/>
    </row>
    <row r="550" spans="3:3" customFormat="1" ht="15.75" customHeight="1" x14ac:dyDescent="0.2">
      <c r="C550" s="218"/>
    </row>
    <row r="551" spans="3:3" customFormat="1" ht="15.75" customHeight="1" x14ac:dyDescent="0.2">
      <c r="C551" s="218"/>
    </row>
    <row r="552" spans="3:3" customFormat="1" ht="15.75" customHeight="1" x14ac:dyDescent="0.2">
      <c r="C552" s="218"/>
    </row>
    <row r="553" spans="3:3" customFormat="1" ht="15.75" customHeight="1" x14ac:dyDescent="0.2">
      <c r="C553" s="218"/>
    </row>
    <row r="554" spans="3:3" customFormat="1" ht="15.75" customHeight="1" x14ac:dyDescent="0.2">
      <c r="C554" s="218"/>
    </row>
    <row r="555" spans="3:3" customFormat="1" ht="15.75" customHeight="1" x14ac:dyDescent="0.2">
      <c r="C555" s="218"/>
    </row>
    <row r="556" spans="3:3" customFormat="1" ht="15.75" customHeight="1" x14ac:dyDescent="0.2">
      <c r="C556" s="218"/>
    </row>
    <row r="557" spans="3:3" customFormat="1" ht="15.75" customHeight="1" x14ac:dyDescent="0.2">
      <c r="C557" s="218"/>
    </row>
    <row r="558" spans="3:3" customFormat="1" ht="15.75" customHeight="1" x14ac:dyDescent="0.2">
      <c r="C558" s="218"/>
    </row>
    <row r="559" spans="3:3" customFormat="1" ht="15.75" customHeight="1" x14ac:dyDescent="0.2">
      <c r="C559" s="218"/>
    </row>
    <row r="560" spans="3:3" customFormat="1" ht="15.75" customHeight="1" x14ac:dyDescent="0.2">
      <c r="C560" s="218"/>
    </row>
    <row r="561" spans="3:3" customFormat="1" ht="15.75" customHeight="1" x14ac:dyDescent="0.2">
      <c r="C561" s="218"/>
    </row>
    <row r="562" spans="3:3" customFormat="1" ht="15.75" customHeight="1" x14ac:dyDescent="0.2">
      <c r="C562" s="218"/>
    </row>
    <row r="563" spans="3:3" customFormat="1" ht="15.75" customHeight="1" x14ac:dyDescent="0.2">
      <c r="C563" s="218"/>
    </row>
    <row r="564" spans="3:3" customFormat="1" ht="15.75" customHeight="1" x14ac:dyDescent="0.2">
      <c r="C564" s="218"/>
    </row>
    <row r="565" spans="3:3" customFormat="1" ht="15.75" customHeight="1" x14ac:dyDescent="0.2">
      <c r="C565" s="218"/>
    </row>
    <row r="566" spans="3:3" customFormat="1" ht="15.75" customHeight="1" x14ac:dyDescent="0.2">
      <c r="C566" s="218"/>
    </row>
    <row r="567" spans="3:3" customFormat="1" ht="15.75" customHeight="1" x14ac:dyDescent="0.2">
      <c r="C567" s="218"/>
    </row>
    <row r="568" spans="3:3" customFormat="1" ht="15.75" customHeight="1" x14ac:dyDescent="0.2">
      <c r="C568" s="218"/>
    </row>
    <row r="569" spans="3:3" customFormat="1" ht="15.75" customHeight="1" x14ac:dyDescent="0.2">
      <c r="C569" s="218"/>
    </row>
    <row r="570" spans="3:3" customFormat="1" ht="15.75" customHeight="1" x14ac:dyDescent="0.2">
      <c r="C570" s="218"/>
    </row>
    <row r="571" spans="3:3" customFormat="1" ht="15.75" customHeight="1" x14ac:dyDescent="0.2">
      <c r="C571" s="218"/>
    </row>
    <row r="572" spans="3:3" customFormat="1" ht="15.75" customHeight="1" x14ac:dyDescent="0.2">
      <c r="C572" s="218"/>
    </row>
    <row r="573" spans="3:3" customFormat="1" ht="15.75" customHeight="1" x14ac:dyDescent="0.2">
      <c r="C573" s="218"/>
    </row>
    <row r="574" spans="3:3" customFormat="1" ht="15.75" customHeight="1" x14ac:dyDescent="0.2">
      <c r="C574" s="218"/>
    </row>
    <row r="575" spans="3:3" customFormat="1" ht="15.75" customHeight="1" x14ac:dyDescent="0.2">
      <c r="C575" s="218"/>
    </row>
    <row r="576" spans="3:3" customFormat="1" ht="15.75" customHeight="1" x14ac:dyDescent="0.2">
      <c r="C576" s="218"/>
    </row>
    <row r="577" spans="3:3" customFormat="1" ht="15.75" customHeight="1" x14ac:dyDescent="0.2">
      <c r="C577" s="218"/>
    </row>
    <row r="578" spans="3:3" customFormat="1" ht="15.75" customHeight="1" x14ac:dyDescent="0.2">
      <c r="C578" s="218"/>
    </row>
    <row r="579" spans="3:3" customFormat="1" ht="15.75" customHeight="1" x14ac:dyDescent="0.2">
      <c r="C579" s="218"/>
    </row>
    <row r="580" spans="3:3" customFormat="1" ht="15.75" customHeight="1" x14ac:dyDescent="0.2">
      <c r="C580" s="218"/>
    </row>
    <row r="581" spans="3:3" customFormat="1" ht="15.75" customHeight="1" x14ac:dyDescent="0.2">
      <c r="C581" s="218"/>
    </row>
    <row r="582" spans="3:3" customFormat="1" ht="15.75" customHeight="1" x14ac:dyDescent="0.2">
      <c r="C582" s="218"/>
    </row>
    <row r="583" spans="3:3" customFormat="1" ht="15.75" customHeight="1" x14ac:dyDescent="0.2">
      <c r="C583" s="218"/>
    </row>
    <row r="584" spans="3:3" customFormat="1" ht="15.75" customHeight="1" x14ac:dyDescent="0.2">
      <c r="C584" s="218"/>
    </row>
    <row r="585" spans="3:3" customFormat="1" ht="15.75" customHeight="1" x14ac:dyDescent="0.2">
      <c r="C585" s="218"/>
    </row>
    <row r="586" spans="3:3" customFormat="1" ht="15.75" customHeight="1" x14ac:dyDescent="0.2">
      <c r="C586" s="218"/>
    </row>
    <row r="587" spans="3:3" customFormat="1" ht="15.75" customHeight="1" x14ac:dyDescent="0.2">
      <c r="C587" s="218"/>
    </row>
    <row r="588" spans="3:3" customFormat="1" ht="15.75" customHeight="1" x14ac:dyDescent="0.2">
      <c r="C588" s="218"/>
    </row>
    <row r="589" spans="3:3" customFormat="1" ht="15.75" customHeight="1" x14ac:dyDescent="0.2">
      <c r="C589" s="218"/>
    </row>
    <row r="590" spans="3:3" customFormat="1" ht="15.75" customHeight="1" x14ac:dyDescent="0.2">
      <c r="C590" s="218"/>
    </row>
    <row r="591" spans="3:3" customFormat="1" ht="15.75" customHeight="1" x14ac:dyDescent="0.2">
      <c r="C591" s="218"/>
    </row>
    <row r="592" spans="3:3" customFormat="1" ht="15.75" customHeight="1" x14ac:dyDescent="0.2">
      <c r="C592" s="218"/>
    </row>
    <row r="593" spans="3:3" customFormat="1" ht="15.75" customHeight="1" x14ac:dyDescent="0.2">
      <c r="C593" s="218"/>
    </row>
    <row r="594" spans="3:3" customFormat="1" ht="15.75" customHeight="1" x14ac:dyDescent="0.2">
      <c r="C594" s="218"/>
    </row>
    <row r="595" spans="3:3" customFormat="1" ht="15.75" customHeight="1" x14ac:dyDescent="0.2">
      <c r="C595" s="218"/>
    </row>
    <row r="596" spans="3:3" customFormat="1" ht="15.75" customHeight="1" x14ac:dyDescent="0.2">
      <c r="C596" s="218"/>
    </row>
    <row r="597" spans="3:3" customFormat="1" ht="15.75" customHeight="1" x14ac:dyDescent="0.2">
      <c r="C597" s="218"/>
    </row>
    <row r="598" spans="3:3" customFormat="1" ht="15.75" customHeight="1" x14ac:dyDescent="0.2">
      <c r="C598" s="218"/>
    </row>
    <row r="599" spans="3:3" customFormat="1" ht="15.75" customHeight="1" x14ac:dyDescent="0.2">
      <c r="C599" s="218"/>
    </row>
    <row r="600" spans="3:3" customFormat="1" ht="15.75" customHeight="1" x14ac:dyDescent="0.2">
      <c r="C600" s="218"/>
    </row>
    <row r="601" spans="3:3" customFormat="1" ht="15.75" customHeight="1" x14ac:dyDescent="0.2">
      <c r="C601" s="218"/>
    </row>
    <row r="602" spans="3:3" customFormat="1" ht="15.75" customHeight="1" x14ac:dyDescent="0.2">
      <c r="C602" s="218"/>
    </row>
    <row r="603" spans="3:3" customFormat="1" ht="15.75" customHeight="1" x14ac:dyDescent="0.2">
      <c r="C603" s="218"/>
    </row>
    <row r="604" spans="3:3" customFormat="1" ht="15.75" customHeight="1" x14ac:dyDescent="0.2">
      <c r="C604" s="218"/>
    </row>
    <row r="605" spans="3:3" customFormat="1" ht="15.75" customHeight="1" x14ac:dyDescent="0.2">
      <c r="C605" s="218"/>
    </row>
    <row r="606" spans="3:3" customFormat="1" ht="15.75" customHeight="1" x14ac:dyDescent="0.2">
      <c r="C606" s="218"/>
    </row>
    <row r="607" spans="3:3" customFormat="1" ht="15.75" customHeight="1" x14ac:dyDescent="0.2">
      <c r="C607" s="218"/>
    </row>
    <row r="608" spans="3:3" customFormat="1" ht="15.75" customHeight="1" x14ac:dyDescent="0.2">
      <c r="C608" s="218"/>
    </row>
    <row r="609" spans="3:3" customFormat="1" ht="15.75" customHeight="1" x14ac:dyDescent="0.2">
      <c r="C609" s="218"/>
    </row>
    <row r="610" spans="3:3" customFormat="1" ht="15.75" customHeight="1" x14ac:dyDescent="0.2">
      <c r="C610" s="218"/>
    </row>
    <row r="611" spans="3:3" customFormat="1" ht="15.75" customHeight="1" x14ac:dyDescent="0.2">
      <c r="C611" s="218"/>
    </row>
    <row r="612" spans="3:3" customFormat="1" ht="15.75" customHeight="1" x14ac:dyDescent="0.2">
      <c r="C612" s="218"/>
    </row>
    <row r="613" spans="3:3" customFormat="1" ht="15.75" customHeight="1" x14ac:dyDescent="0.2">
      <c r="C613" s="218"/>
    </row>
    <row r="614" spans="3:3" customFormat="1" ht="15.75" customHeight="1" x14ac:dyDescent="0.2">
      <c r="C614" s="218"/>
    </row>
    <row r="615" spans="3:3" customFormat="1" ht="15.75" customHeight="1" x14ac:dyDescent="0.2">
      <c r="C615" s="218"/>
    </row>
    <row r="616" spans="3:3" customFormat="1" ht="15.75" customHeight="1" x14ac:dyDescent="0.2">
      <c r="C616" s="218"/>
    </row>
    <row r="617" spans="3:3" customFormat="1" ht="15.75" customHeight="1" x14ac:dyDescent="0.2">
      <c r="C617" s="218"/>
    </row>
    <row r="618" spans="3:3" customFormat="1" ht="15.75" customHeight="1" x14ac:dyDescent="0.2">
      <c r="C618" s="218"/>
    </row>
    <row r="619" spans="3:3" customFormat="1" ht="15.75" customHeight="1" x14ac:dyDescent="0.2">
      <c r="C619" s="218"/>
    </row>
    <row r="620" spans="3:3" customFormat="1" ht="15.75" customHeight="1" x14ac:dyDescent="0.2">
      <c r="C620" s="218"/>
    </row>
    <row r="621" spans="3:3" customFormat="1" ht="15.75" customHeight="1" x14ac:dyDescent="0.2">
      <c r="C621" s="218"/>
    </row>
    <row r="622" spans="3:3" customFormat="1" ht="15.75" customHeight="1" x14ac:dyDescent="0.2">
      <c r="C622" s="218"/>
    </row>
    <row r="623" spans="3:3" customFormat="1" ht="15.75" customHeight="1" x14ac:dyDescent="0.2">
      <c r="C623" s="218"/>
    </row>
    <row r="624" spans="3:3" customFormat="1" ht="15.75" customHeight="1" x14ac:dyDescent="0.2">
      <c r="C624" s="218"/>
    </row>
    <row r="625" spans="3:3" customFormat="1" ht="15.75" customHeight="1" x14ac:dyDescent="0.2">
      <c r="C625" s="218"/>
    </row>
    <row r="626" spans="3:3" customFormat="1" ht="15.75" customHeight="1" x14ac:dyDescent="0.2">
      <c r="C626" s="218"/>
    </row>
    <row r="627" spans="3:3" customFormat="1" ht="15.75" customHeight="1" x14ac:dyDescent="0.2">
      <c r="C627" s="218"/>
    </row>
    <row r="628" spans="3:3" customFormat="1" ht="15.75" customHeight="1" x14ac:dyDescent="0.2">
      <c r="C628" s="218"/>
    </row>
    <row r="629" spans="3:3" customFormat="1" ht="15.75" customHeight="1" x14ac:dyDescent="0.2">
      <c r="C629" s="218"/>
    </row>
    <row r="630" spans="3:3" customFormat="1" ht="15.75" customHeight="1" x14ac:dyDescent="0.2">
      <c r="C630" s="218"/>
    </row>
    <row r="631" spans="3:3" customFormat="1" ht="15.75" customHeight="1" x14ac:dyDescent="0.2">
      <c r="C631" s="218"/>
    </row>
    <row r="632" spans="3:3" customFormat="1" ht="15.75" customHeight="1" x14ac:dyDescent="0.2">
      <c r="C632" s="218"/>
    </row>
    <row r="633" spans="3:3" customFormat="1" ht="15.75" customHeight="1" x14ac:dyDescent="0.2">
      <c r="C633" s="218"/>
    </row>
    <row r="634" spans="3:3" customFormat="1" ht="15.75" customHeight="1" x14ac:dyDescent="0.2">
      <c r="C634" s="218"/>
    </row>
    <row r="635" spans="3:3" customFormat="1" ht="15.75" customHeight="1" x14ac:dyDescent="0.2">
      <c r="C635" s="218"/>
    </row>
    <row r="636" spans="3:3" customFormat="1" ht="15.75" customHeight="1" x14ac:dyDescent="0.2">
      <c r="C636" s="218"/>
    </row>
    <row r="637" spans="3:3" customFormat="1" ht="15.75" customHeight="1" x14ac:dyDescent="0.2">
      <c r="C637" s="218"/>
    </row>
    <row r="638" spans="3:3" customFormat="1" ht="15.75" customHeight="1" x14ac:dyDescent="0.2">
      <c r="C638" s="218"/>
    </row>
    <row r="639" spans="3:3" customFormat="1" ht="15.75" customHeight="1" x14ac:dyDescent="0.2">
      <c r="C639" s="218"/>
    </row>
    <row r="640" spans="3:3" customFormat="1" ht="15.75" customHeight="1" x14ac:dyDescent="0.2">
      <c r="C640" s="218"/>
    </row>
    <row r="641" spans="3:3" customFormat="1" ht="15.75" customHeight="1" x14ac:dyDescent="0.2">
      <c r="C641" s="218"/>
    </row>
    <row r="642" spans="3:3" customFormat="1" ht="15.75" customHeight="1" x14ac:dyDescent="0.2">
      <c r="C642" s="218"/>
    </row>
    <row r="643" spans="3:3" customFormat="1" ht="15.75" customHeight="1" x14ac:dyDescent="0.2">
      <c r="C643" s="218"/>
    </row>
    <row r="644" spans="3:3" customFormat="1" ht="15.75" customHeight="1" x14ac:dyDescent="0.2">
      <c r="C644" s="218"/>
    </row>
    <row r="645" spans="3:3" customFormat="1" ht="15.75" customHeight="1" x14ac:dyDescent="0.2">
      <c r="C645" s="218"/>
    </row>
    <row r="646" spans="3:3" customFormat="1" ht="15.75" customHeight="1" x14ac:dyDescent="0.2">
      <c r="C646" s="218"/>
    </row>
    <row r="647" spans="3:3" customFormat="1" ht="15.75" customHeight="1" x14ac:dyDescent="0.2">
      <c r="C647" s="218"/>
    </row>
    <row r="648" spans="3:3" customFormat="1" ht="15.75" customHeight="1" x14ac:dyDescent="0.2">
      <c r="C648" s="218"/>
    </row>
    <row r="649" spans="3:3" customFormat="1" ht="15.75" customHeight="1" x14ac:dyDescent="0.2">
      <c r="C649" s="218"/>
    </row>
    <row r="650" spans="3:3" customFormat="1" ht="15.75" customHeight="1" x14ac:dyDescent="0.2">
      <c r="C650" s="218"/>
    </row>
    <row r="651" spans="3:3" customFormat="1" ht="15.75" customHeight="1" x14ac:dyDescent="0.2">
      <c r="C651" s="218"/>
    </row>
    <row r="652" spans="3:3" customFormat="1" ht="15.75" customHeight="1" x14ac:dyDescent="0.2">
      <c r="C652" s="218"/>
    </row>
    <row r="653" spans="3:3" customFormat="1" ht="15.75" customHeight="1" x14ac:dyDescent="0.2">
      <c r="C653" s="218"/>
    </row>
    <row r="654" spans="3:3" customFormat="1" ht="15.75" customHeight="1" x14ac:dyDescent="0.2">
      <c r="C654" s="218"/>
    </row>
    <row r="655" spans="3:3" customFormat="1" ht="15.75" customHeight="1" x14ac:dyDescent="0.2">
      <c r="C655" s="218"/>
    </row>
    <row r="656" spans="3:3" customFormat="1" ht="15.75" customHeight="1" x14ac:dyDescent="0.2">
      <c r="C656" s="218"/>
    </row>
    <row r="657" spans="3:3" customFormat="1" ht="15.75" customHeight="1" x14ac:dyDescent="0.2">
      <c r="C657" s="218"/>
    </row>
    <row r="658" spans="3:3" customFormat="1" ht="15.75" customHeight="1" x14ac:dyDescent="0.2">
      <c r="C658" s="218"/>
    </row>
    <row r="659" spans="3:3" customFormat="1" ht="15.75" customHeight="1" x14ac:dyDescent="0.2">
      <c r="C659" s="218"/>
    </row>
    <row r="660" spans="3:3" customFormat="1" ht="15.75" customHeight="1" x14ac:dyDescent="0.2">
      <c r="C660" s="218"/>
    </row>
    <row r="661" spans="3:3" customFormat="1" ht="15.75" customHeight="1" x14ac:dyDescent="0.2">
      <c r="C661" s="218"/>
    </row>
    <row r="662" spans="3:3" customFormat="1" ht="15.75" customHeight="1" x14ac:dyDescent="0.2">
      <c r="C662" s="218"/>
    </row>
    <row r="663" spans="3:3" customFormat="1" ht="15.75" customHeight="1" x14ac:dyDescent="0.2">
      <c r="C663" s="218"/>
    </row>
    <row r="664" spans="3:3" customFormat="1" ht="15.75" customHeight="1" x14ac:dyDescent="0.2">
      <c r="C664" s="218"/>
    </row>
    <row r="665" spans="3:3" customFormat="1" ht="15.75" customHeight="1" x14ac:dyDescent="0.2">
      <c r="C665" s="218"/>
    </row>
    <row r="666" spans="3:3" customFormat="1" ht="15.75" customHeight="1" x14ac:dyDescent="0.2">
      <c r="C666" s="218"/>
    </row>
    <row r="667" spans="3:3" customFormat="1" ht="15.75" customHeight="1" x14ac:dyDescent="0.2">
      <c r="C667" s="218"/>
    </row>
    <row r="668" spans="3:3" customFormat="1" ht="15.75" customHeight="1" x14ac:dyDescent="0.2">
      <c r="C668" s="218"/>
    </row>
    <row r="669" spans="3:3" customFormat="1" ht="15.75" customHeight="1" x14ac:dyDescent="0.2">
      <c r="C669" s="218"/>
    </row>
    <row r="670" spans="3:3" customFormat="1" ht="15.75" customHeight="1" x14ac:dyDescent="0.2">
      <c r="C670" s="218"/>
    </row>
    <row r="671" spans="3:3" customFormat="1" ht="15.75" customHeight="1" x14ac:dyDescent="0.2">
      <c r="C671" s="218"/>
    </row>
    <row r="672" spans="3:3" customFormat="1" ht="15.75" customHeight="1" x14ac:dyDescent="0.2">
      <c r="C672" s="218"/>
    </row>
    <row r="673" spans="3:3" customFormat="1" ht="15.75" customHeight="1" x14ac:dyDescent="0.2">
      <c r="C673" s="218"/>
    </row>
    <row r="674" spans="3:3" customFormat="1" ht="15.75" customHeight="1" x14ac:dyDescent="0.2">
      <c r="C674" s="218"/>
    </row>
    <row r="675" spans="3:3" customFormat="1" ht="15.75" customHeight="1" x14ac:dyDescent="0.2">
      <c r="C675" s="218"/>
    </row>
    <row r="676" spans="3:3" customFormat="1" ht="15.75" customHeight="1" x14ac:dyDescent="0.2">
      <c r="C676" s="218"/>
    </row>
    <row r="677" spans="3:3" customFormat="1" ht="15.75" customHeight="1" x14ac:dyDescent="0.2">
      <c r="C677" s="218"/>
    </row>
    <row r="678" spans="3:3" customFormat="1" ht="15.75" customHeight="1" x14ac:dyDescent="0.2">
      <c r="C678" s="218"/>
    </row>
    <row r="679" spans="3:3" customFormat="1" ht="15.75" customHeight="1" x14ac:dyDescent="0.2">
      <c r="C679" s="218"/>
    </row>
    <row r="680" spans="3:3" customFormat="1" ht="15.75" customHeight="1" x14ac:dyDescent="0.2">
      <c r="C680" s="218"/>
    </row>
    <row r="681" spans="3:3" customFormat="1" ht="15.75" customHeight="1" x14ac:dyDescent="0.2">
      <c r="C681" s="218"/>
    </row>
    <row r="682" spans="3:3" customFormat="1" ht="15.75" customHeight="1" x14ac:dyDescent="0.2">
      <c r="C682" s="218"/>
    </row>
    <row r="683" spans="3:3" customFormat="1" ht="15.75" customHeight="1" x14ac:dyDescent="0.2">
      <c r="C683" s="218"/>
    </row>
    <row r="684" spans="3:3" customFormat="1" ht="15.75" customHeight="1" x14ac:dyDescent="0.2">
      <c r="C684" s="218"/>
    </row>
    <row r="685" spans="3:3" customFormat="1" ht="15.75" customHeight="1" x14ac:dyDescent="0.2">
      <c r="C685" s="218"/>
    </row>
    <row r="686" spans="3:3" customFormat="1" ht="15.75" customHeight="1" x14ac:dyDescent="0.2">
      <c r="C686" s="218"/>
    </row>
    <row r="687" spans="3:3" customFormat="1" ht="15.75" customHeight="1" x14ac:dyDescent="0.2">
      <c r="C687" s="218"/>
    </row>
    <row r="688" spans="3:3" customFormat="1" ht="15.75" customHeight="1" x14ac:dyDescent="0.2">
      <c r="C688" s="218"/>
    </row>
    <row r="689" spans="3:3" customFormat="1" ht="15.75" customHeight="1" x14ac:dyDescent="0.2">
      <c r="C689" s="218"/>
    </row>
    <row r="690" spans="3:3" customFormat="1" ht="15.75" customHeight="1" x14ac:dyDescent="0.2">
      <c r="C690" s="218"/>
    </row>
    <row r="691" spans="3:3" customFormat="1" ht="15.75" customHeight="1" x14ac:dyDescent="0.2">
      <c r="C691" s="218"/>
    </row>
    <row r="692" spans="3:3" customFormat="1" ht="15.75" customHeight="1" x14ac:dyDescent="0.2">
      <c r="C692" s="218"/>
    </row>
    <row r="693" spans="3:3" customFormat="1" ht="15.75" customHeight="1" x14ac:dyDescent="0.2">
      <c r="C693" s="218"/>
    </row>
    <row r="694" spans="3:3" customFormat="1" ht="15.75" customHeight="1" x14ac:dyDescent="0.2">
      <c r="C694" s="218"/>
    </row>
    <row r="695" spans="3:3" customFormat="1" ht="15.75" customHeight="1" x14ac:dyDescent="0.2">
      <c r="C695" s="218"/>
    </row>
    <row r="696" spans="3:3" customFormat="1" ht="15.75" customHeight="1" x14ac:dyDescent="0.2">
      <c r="C696" s="218"/>
    </row>
    <row r="697" spans="3:3" customFormat="1" ht="15.75" customHeight="1" x14ac:dyDescent="0.2">
      <c r="C697" s="218"/>
    </row>
    <row r="698" spans="3:3" customFormat="1" ht="15.75" customHeight="1" x14ac:dyDescent="0.2">
      <c r="C698" s="218"/>
    </row>
    <row r="699" spans="3:3" customFormat="1" ht="15.75" customHeight="1" x14ac:dyDescent="0.2">
      <c r="C699" s="218"/>
    </row>
    <row r="700" spans="3:3" customFormat="1" ht="15.75" customHeight="1" x14ac:dyDescent="0.2">
      <c r="C700" s="218"/>
    </row>
    <row r="701" spans="3:3" customFormat="1" ht="15.75" customHeight="1" x14ac:dyDescent="0.2">
      <c r="C701" s="218"/>
    </row>
    <row r="702" spans="3:3" customFormat="1" ht="15.75" customHeight="1" x14ac:dyDescent="0.2">
      <c r="C702" s="218"/>
    </row>
    <row r="703" spans="3:3" customFormat="1" ht="15.75" customHeight="1" x14ac:dyDescent="0.2">
      <c r="C703" s="218"/>
    </row>
    <row r="704" spans="3:3" customFormat="1" ht="15.75" customHeight="1" x14ac:dyDescent="0.2">
      <c r="C704" s="218"/>
    </row>
    <row r="705" spans="3:3" customFormat="1" ht="15.75" customHeight="1" x14ac:dyDescent="0.2">
      <c r="C705" s="218"/>
    </row>
    <row r="706" spans="3:3" customFormat="1" ht="15.75" customHeight="1" x14ac:dyDescent="0.2">
      <c r="C706" s="218"/>
    </row>
    <row r="707" spans="3:3" customFormat="1" ht="15.75" customHeight="1" x14ac:dyDescent="0.2">
      <c r="C707" s="218"/>
    </row>
    <row r="708" spans="3:3" customFormat="1" ht="15.75" customHeight="1" x14ac:dyDescent="0.2">
      <c r="C708" s="218"/>
    </row>
    <row r="709" spans="3:3" customFormat="1" ht="15.75" customHeight="1" x14ac:dyDescent="0.2">
      <c r="C709" s="218"/>
    </row>
    <row r="710" spans="3:3" customFormat="1" ht="15.75" customHeight="1" x14ac:dyDescent="0.2">
      <c r="C710" s="218"/>
    </row>
    <row r="711" spans="3:3" customFormat="1" ht="15.75" customHeight="1" x14ac:dyDescent="0.2">
      <c r="C711" s="218"/>
    </row>
    <row r="712" spans="3:3" customFormat="1" ht="15.75" customHeight="1" x14ac:dyDescent="0.2">
      <c r="C712" s="218"/>
    </row>
    <row r="713" spans="3:3" customFormat="1" ht="15.75" customHeight="1" x14ac:dyDescent="0.2">
      <c r="C713" s="218"/>
    </row>
    <row r="714" spans="3:3" customFormat="1" ht="15.75" customHeight="1" x14ac:dyDescent="0.2">
      <c r="C714" s="218"/>
    </row>
    <row r="715" spans="3:3" customFormat="1" ht="15.75" customHeight="1" x14ac:dyDescent="0.2">
      <c r="C715" s="218"/>
    </row>
    <row r="716" spans="3:3" customFormat="1" ht="15.75" customHeight="1" x14ac:dyDescent="0.2">
      <c r="C716" s="218"/>
    </row>
    <row r="717" spans="3:3" customFormat="1" ht="15.75" customHeight="1" x14ac:dyDescent="0.2">
      <c r="C717" s="218"/>
    </row>
    <row r="718" spans="3:3" customFormat="1" ht="15.75" customHeight="1" x14ac:dyDescent="0.2">
      <c r="C718" s="218"/>
    </row>
    <row r="719" spans="3:3" customFormat="1" ht="15.75" customHeight="1" x14ac:dyDescent="0.2">
      <c r="C719" s="218"/>
    </row>
    <row r="720" spans="3:3" customFormat="1" ht="15.75" customHeight="1" x14ac:dyDescent="0.2">
      <c r="C720" s="218"/>
    </row>
    <row r="721" spans="3:3" customFormat="1" ht="15.75" customHeight="1" x14ac:dyDescent="0.2">
      <c r="C721" s="218"/>
    </row>
    <row r="722" spans="3:3" customFormat="1" ht="15.75" customHeight="1" x14ac:dyDescent="0.2">
      <c r="C722" s="218"/>
    </row>
    <row r="723" spans="3:3" customFormat="1" ht="15.75" customHeight="1" x14ac:dyDescent="0.2">
      <c r="C723" s="218"/>
    </row>
    <row r="724" spans="3:3" customFormat="1" ht="15.75" customHeight="1" x14ac:dyDescent="0.2">
      <c r="C724" s="218"/>
    </row>
    <row r="725" spans="3:3" customFormat="1" ht="15.75" customHeight="1" x14ac:dyDescent="0.2">
      <c r="C725" s="218"/>
    </row>
    <row r="726" spans="3:3" customFormat="1" ht="15.75" customHeight="1" x14ac:dyDescent="0.2">
      <c r="C726" s="218"/>
    </row>
    <row r="727" spans="3:3" customFormat="1" ht="15.75" customHeight="1" x14ac:dyDescent="0.2">
      <c r="C727" s="218"/>
    </row>
    <row r="728" spans="3:3" customFormat="1" ht="15.75" customHeight="1" x14ac:dyDescent="0.2">
      <c r="C728" s="218"/>
    </row>
    <row r="729" spans="3:3" customFormat="1" ht="15.75" customHeight="1" x14ac:dyDescent="0.2">
      <c r="C729" s="218"/>
    </row>
    <row r="730" spans="3:3" customFormat="1" ht="15.75" customHeight="1" x14ac:dyDescent="0.2">
      <c r="C730" s="218"/>
    </row>
    <row r="731" spans="3:3" customFormat="1" ht="15.75" customHeight="1" x14ac:dyDescent="0.2">
      <c r="C731" s="218"/>
    </row>
    <row r="732" spans="3:3" customFormat="1" ht="15.75" customHeight="1" x14ac:dyDescent="0.2">
      <c r="C732" s="218"/>
    </row>
    <row r="733" spans="3:3" customFormat="1" ht="15.75" customHeight="1" x14ac:dyDescent="0.2">
      <c r="C733" s="218"/>
    </row>
    <row r="734" spans="3:3" customFormat="1" ht="15.75" customHeight="1" x14ac:dyDescent="0.2">
      <c r="C734" s="218"/>
    </row>
    <row r="735" spans="3:3" customFormat="1" ht="15.75" customHeight="1" x14ac:dyDescent="0.2">
      <c r="C735" s="218"/>
    </row>
    <row r="736" spans="3:3" customFormat="1" ht="15.75" customHeight="1" x14ac:dyDescent="0.2">
      <c r="C736" s="218"/>
    </row>
    <row r="737" spans="3:3" customFormat="1" ht="15.75" customHeight="1" x14ac:dyDescent="0.2">
      <c r="C737" s="218"/>
    </row>
    <row r="738" spans="3:3" customFormat="1" ht="15.75" customHeight="1" x14ac:dyDescent="0.2">
      <c r="C738" s="218"/>
    </row>
    <row r="739" spans="3:3" customFormat="1" ht="15.75" customHeight="1" x14ac:dyDescent="0.2">
      <c r="C739" s="218"/>
    </row>
    <row r="740" spans="3:3" customFormat="1" ht="15.75" customHeight="1" x14ac:dyDescent="0.2">
      <c r="C740" s="218"/>
    </row>
    <row r="741" spans="3:3" customFormat="1" ht="15.75" customHeight="1" x14ac:dyDescent="0.2">
      <c r="C741" s="218"/>
    </row>
    <row r="742" spans="3:3" customFormat="1" ht="15.75" customHeight="1" x14ac:dyDescent="0.2">
      <c r="C742" s="218"/>
    </row>
    <row r="743" spans="3:3" customFormat="1" ht="15.75" customHeight="1" x14ac:dyDescent="0.2">
      <c r="C743" s="218"/>
    </row>
    <row r="744" spans="3:3" customFormat="1" ht="15.75" customHeight="1" x14ac:dyDescent="0.2">
      <c r="C744" s="218"/>
    </row>
    <row r="745" spans="3:3" customFormat="1" ht="15.75" customHeight="1" x14ac:dyDescent="0.2">
      <c r="C745" s="218"/>
    </row>
    <row r="746" spans="3:3" customFormat="1" ht="15.75" customHeight="1" x14ac:dyDescent="0.2">
      <c r="C746" s="218"/>
    </row>
    <row r="747" spans="3:3" customFormat="1" ht="15.75" customHeight="1" x14ac:dyDescent="0.2">
      <c r="C747" s="218"/>
    </row>
    <row r="748" spans="3:3" customFormat="1" ht="15.75" customHeight="1" x14ac:dyDescent="0.2">
      <c r="C748" s="218"/>
    </row>
    <row r="749" spans="3:3" customFormat="1" ht="15.75" customHeight="1" x14ac:dyDescent="0.2">
      <c r="C749" s="218"/>
    </row>
    <row r="750" spans="3:3" customFormat="1" ht="15.75" customHeight="1" x14ac:dyDescent="0.2">
      <c r="C750" s="218"/>
    </row>
    <row r="751" spans="3:3" customFormat="1" ht="15.75" customHeight="1" x14ac:dyDescent="0.2">
      <c r="C751" s="218"/>
    </row>
    <row r="752" spans="3:3" customFormat="1" ht="15.75" customHeight="1" x14ac:dyDescent="0.2">
      <c r="C752" s="218"/>
    </row>
    <row r="753" spans="3:3" customFormat="1" ht="15.75" customHeight="1" x14ac:dyDescent="0.2">
      <c r="C753" s="218"/>
    </row>
    <row r="754" spans="3:3" customFormat="1" ht="15.75" customHeight="1" x14ac:dyDescent="0.2">
      <c r="C754" s="218"/>
    </row>
    <row r="755" spans="3:3" customFormat="1" ht="15.75" customHeight="1" x14ac:dyDescent="0.2">
      <c r="C755" s="218"/>
    </row>
    <row r="756" spans="3:3" customFormat="1" ht="15.75" customHeight="1" x14ac:dyDescent="0.2">
      <c r="C756" s="218"/>
    </row>
    <row r="757" spans="3:3" customFormat="1" ht="15.75" customHeight="1" x14ac:dyDescent="0.2">
      <c r="C757" s="218"/>
    </row>
    <row r="758" spans="3:3" customFormat="1" ht="15.75" customHeight="1" x14ac:dyDescent="0.2">
      <c r="C758" s="218"/>
    </row>
    <row r="759" spans="3:3" customFormat="1" ht="15.75" customHeight="1" x14ac:dyDescent="0.2">
      <c r="C759" s="218"/>
    </row>
    <row r="760" spans="3:3" customFormat="1" ht="15.75" customHeight="1" x14ac:dyDescent="0.2">
      <c r="C760" s="218"/>
    </row>
    <row r="761" spans="3:3" customFormat="1" ht="15.75" customHeight="1" x14ac:dyDescent="0.2">
      <c r="C761" s="218"/>
    </row>
    <row r="762" spans="3:3" customFormat="1" ht="15.75" customHeight="1" x14ac:dyDescent="0.2">
      <c r="C762" s="218"/>
    </row>
    <row r="763" spans="3:3" customFormat="1" ht="15.75" customHeight="1" x14ac:dyDescent="0.2">
      <c r="C763" s="218"/>
    </row>
    <row r="764" spans="3:3" customFormat="1" ht="15.75" customHeight="1" x14ac:dyDescent="0.2">
      <c r="C764" s="218"/>
    </row>
    <row r="765" spans="3:3" customFormat="1" ht="15.75" customHeight="1" x14ac:dyDescent="0.2">
      <c r="C765" s="218"/>
    </row>
    <row r="766" spans="3:3" customFormat="1" ht="15.75" customHeight="1" x14ac:dyDescent="0.2">
      <c r="C766" s="218"/>
    </row>
    <row r="767" spans="3:3" customFormat="1" ht="15.75" customHeight="1" x14ac:dyDescent="0.2">
      <c r="C767" s="218"/>
    </row>
    <row r="768" spans="3:3" customFormat="1" ht="15.75" customHeight="1" x14ac:dyDescent="0.2">
      <c r="C768" s="218"/>
    </row>
    <row r="769" spans="3:3" customFormat="1" ht="15.75" customHeight="1" x14ac:dyDescent="0.2">
      <c r="C769" s="218"/>
    </row>
    <row r="770" spans="3:3" customFormat="1" ht="15.75" customHeight="1" x14ac:dyDescent="0.2">
      <c r="C770" s="218"/>
    </row>
    <row r="771" spans="3:3" customFormat="1" ht="15.75" customHeight="1" x14ac:dyDescent="0.2">
      <c r="C771" s="218"/>
    </row>
    <row r="772" spans="3:3" customFormat="1" ht="15.75" customHeight="1" x14ac:dyDescent="0.2">
      <c r="C772" s="218"/>
    </row>
    <row r="773" spans="3:3" customFormat="1" ht="15.75" customHeight="1" x14ac:dyDescent="0.2">
      <c r="C773" s="218"/>
    </row>
    <row r="774" spans="3:3" customFormat="1" ht="15.75" customHeight="1" x14ac:dyDescent="0.2">
      <c r="C774" s="218"/>
    </row>
    <row r="775" spans="3:3" customFormat="1" ht="15.75" customHeight="1" x14ac:dyDescent="0.2">
      <c r="C775" s="218"/>
    </row>
    <row r="776" spans="3:3" customFormat="1" ht="15.75" customHeight="1" x14ac:dyDescent="0.2">
      <c r="C776" s="218"/>
    </row>
    <row r="777" spans="3:3" customFormat="1" ht="15.75" customHeight="1" x14ac:dyDescent="0.2">
      <c r="C777" s="218"/>
    </row>
    <row r="778" spans="3:3" customFormat="1" ht="15.75" customHeight="1" x14ac:dyDescent="0.2">
      <c r="C778" s="218"/>
    </row>
    <row r="779" spans="3:3" customFormat="1" ht="15.75" customHeight="1" x14ac:dyDescent="0.2">
      <c r="C779" s="218"/>
    </row>
    <row r="780" spans="3:3" customFormat="1" ht="15.75" customHeight="1" x14ac:dyDescent="0.2">
      <c r="C780" s="218"/>
    </row>
    <row r="781" spans="3:3" customFormat="1" ht="15.75" customHeight="1" x14ac:dyDescent="0.2">
      <c r="C781" s="218"/>
    </row>
    <row r="782" spans="3:3" customFormat="1" ht="15.75" customHeight="1" x14ac:dyDescent="0.2">
      <c r="C782" s="218"/>
    </row>
    <row r="783" spans="3:3" customFormat="1" ht="15.75" customHeight="1" x14ac:dyDescent="0.2">
      <c r="C783" s="218"/>
    </row>
    <row r="784" spans="3:3" customFormat="1" ht="15.75" customHeight="1" x14ac:dyDescent="0.2">
      <c r="C784" s="218"/>
    </row>
    <row r="785" spans="3:3" customFormat="1" ht="15.75" customHeight="1" x14ac:dyDescent="0.2">
      <c r="C785" s="218"/>
    </row>
    <row r="786" spans="3:3" customFormat="1" ht="15.75" customHeight="1" x14ac:dyDescent="0.2">
      <c r="C786" s="218"/>
    </row>
    <row r="787" spans="3:3" customFormat="1" ht="15.75" customHeight="1" x14ac:dyDescent="0.2">
      <c r="C787" s="218"/>
    </row>
    <row r="788" spans="3:3" customFormat="1" ht="15.75" customHeight="1" x14ac:dyDescent="0.2">
      <c r="C788" s="218"/>
    </row>
    <row r="789" spans="3:3" customFormat="1" ht="15.75" customHeight="1" x14ac:dyDescent="0.2">
      <c r="C789" s="218"/>
    </row>
    <row r="790" spans="3:3" customFormat="1" ht="15.75" customHeight="1" x14ac:dyDescent="0.2">
      <c r="C790" s="218"/>
    </row>
    <row r="791" spans="3:3" customFormat="1" ht="15.75" customHeight="1" x14ac:dyDescent="0.2">
      <c r="C791" s="218"/>
    </row>
    <row r="792" spans="3:3" customFormat="1" ht="15.75" customHeight="1" x14ac:dyDescent="0.2">
      <c r="C792" s="218"/>
    </row>
    <row r="793" spans="3:3" customFormat="1" ht="15.75" customHeight="1" x14ac:dyDescent="0.2">
      <c r="C793" s="218"/>
    </row>
    <row r="794" spans="3:3" customFormat="1" ht="15.75" customHeight="1" x14ac:dyDescent="0.2">
      <c r="C794" s="218"/>
    </row>
    <row r="795" spans="3:3" customFormat="1" ht="15.75" customHeight="1" x14ac:dyDescent="0.2">
      <c r="C795" s="218"/>
    </row>
    <row r="796" spans="3:3" customFormat="1" ht="15.75" customHeight="1" x14ac:dyDescent="0.2">
      <c r="C796" s="218"/>
    </row>
    <row r="797" spans="3:3" customFormat="1" ht="15.75" customHeight="1" x14ac:dyDescent="0.2">
      <c r="C797" s="218"/>
    </row>
    <row r="798" spans="3:3" customFormat="1" ht="15.75" customHeight="1" x14ac:dyDescent="0.2">
      <c r="C798" s="218"/>
    </row>
    <row r="799" spans="3:3" customFormat="1" ht="15.75" customHeight="1" x14ac:dyDescent="0.2">
      <c r="C799" s="218"/>
    </row>
    <row r="800" spans="3:3" customFormat="1" ht="15.75" customHeight="1" x14ac:dyDescent="0.2">
      <c r="C800" s="218"/>
    </row>
    <row r="801" spans="3:3" customFormat="1" ht="15.75" customHeight="1" x14ac:dyDescent="0.2">
      <c r="C801" s="218"/>
    </row>
    <row r="802" spans="3:3" customFormat="1" ht="15.75" customHeight="1" x14ac:dyDescent="0.2">
      <c r="C802" s="218"/>
    </row>
    <row r="803" spans="3:3" customFormat="1" ht="15.75" customHeight="1" x14ac:dyDescent="0.2">
      <c r="C803" s="218"/>
    </row>
    <row r="804" spans="3:3" customFormat="1" ht="15.75" customHeight="1" x14ac:dyDescent="0.2">
      <c r="C804" s="218"/>
    </row>
    <row r="805" spans="3:3" customFormat="1" ht="15.75" customHeight="1" x14ac:dyDescent="0.2">
      <c r="C805" s="218"/>
    </row>
    <row r="806" spans="3:3" customFormat="1" ht="15.75" customHeight="1" x14ac:dyDescent="0.2">
      <c r="C806" s="218"/>
    </row>
    <row r="807" spans="3:3" customFormat="1" ht="15.75" customHeight="1" x14ac:dyDescent="0.2">
      <c r="C807" s="218"/>
    </row>
    <row r="808" spans="3:3" customFormat="1" ht="15.75" customHeight="1" x14ac:dyDescent="0.2">
      <c r="C808" s="218"/>
    </row>
    <row r="809" spans="3:3" customFormat="1" ht="15.75" customHeight="1" x14ac:dyDescent="0.2">
      <c r="C809" s="218"/>
    </row>
    <row r="810" spans="3:3" customFormat="1" ht="15.75" customHeight="1" x14ac:dyDescent="0.2">
      <c r="C810" s="218"/>
    </row>
    <row r="811" spans="3:3" customFormat="1" ht="15.75" customHeight="1" x14ac:dyDescent="0.2">
      <c r="C811" s="218"/>
    </row>
    <row r="812" spans="3:3" customFormat="1" ht="15.75" customHeight="1" x14ac:dyDescent="0.2">
      <c r="C812" s="218"/>
    </row>
    <row r="813" spans="3:3" customFormat="1" ht="15.75" customHeight="1" x14ac:dyDescent="0.2">
      <c r="C813" s="218"/>
    </row>
    <row r="814" spans="3:3" customFormat="1" ht="15.75" customHeight="1" x14ac:dyDescent="0.2">
      <c r="C814" s="218"/>
    </row>
    <row r="815" spans="3:3" customFormat="1" ht="15.75" customHeight="1" x14ac:dyDescent="0.2">
      <c r="C815" s="218"/>
    </row>
    <row r="816" spans="3:3" customFormat="1" ht="15.75" customHeight="1" x14ac:dyDescent="0.2">
      <c r="C816" s="218"/>
    </row>
    <row r="817" spans="3:3" customFormat="1" ht="15.75" customHeight="1" x14ac:dyDescent="0.2">
      <c r="C817" s="218"/>
    </row>
    <row r="818" spans="3:3" customFormat="1" ht="15.75" customHeight="1" x14ac:dyDescent="0.2">
      <c r="C818" s="218"/>
    </row>
    <row r="819" spans="3:3" customFormat="1" ht="15.75" customHeight="1" x14ac:dyDescent="0.2">
      <c r="C819" s="218"/>
    </row>
    <row r="820" spans="3:3" customFormat="1" ht="15.75" customHeight="1" x14ac:dyDescent="0.2">
      <c r="C820" s="218"/>
    </row>
    <row r="821" spans="3:3" customFormat="1" ht="15.75" customHeight="1" x14ac:dyDescent="0.2">
      <c r="C821" s="218"/>
    </row>
    <row r="822" spans="3:3" customFormat="1" ht="15.75" customHeight="1" x14ac:dyDescent="0.2">
      <c r="C822" s="218"/>
    </row>
    <row r="823" spans="3:3" customFormat="1" ht="15.75" customHeight="1" x14ac:dyDescent="0.2">
      <c r="C823" s="218"/>
    </row>
    <row r="824" spans="3:3" customFormat="1" ht="15.75" customHeight="1" x14ac:dyDescent="0.2">
      <c r="C824" s="218"/>
    </row>
    <row r="825" spans="3:3" customFormat="1" ht="15.75" customHeight="1" x14ac:dyDescent="0.2">
      <c r="C825" s="218"/>
    </row>
    <row r="826" spans="3:3" customFormat="1" ht="15.75" customHeight="1" x14ac:dyDescent="0.2">
      <c r="C826" s="218"/>
    </row>
    <row r="827" spans="3:3" customFormat="1" ht="15.75" customHeight="1" x14ac:dyDescent="0.2">
      <c r="C827" s="218"/>
    </row>
    <row r="828" spans="3:3" customFormat="1" ht="15.75" customHeight="1" x14ac:dyDescent="0.2">
      <c r="C828" s="218"/>
    </row>
    <row r="829" spans="3:3" customFormat="1" ht="15.75" customHeight="1" x14ac:dyDescent="0.2">
      <c r="C829" s="218"/>
    </row>
    <row r="830" spans="3:3" customFormat="1" ht="15.75" customHeight="1" x14ac:dyDescent="0.2">
      <c r="C830" s="218"/>
    </row>
    <row r="831" spans="3:3" customFormat="1" ht="15.75" customHeight="1" x14ac:dyDescent="0.2">
      <c r="C831" s="218"/>
    </row>
    <row r="832" spans="3:3" customFormat="1" ht="15.75" customHeight="1" x14ac:dyDescent="0.2">
      <c r="C832" s="218"/>
    </row>
    <row r="833" spans="3:3" customFormat="1" ht="15.75" customHeight="1" x14ac:dyDescent="0.2">
      <c r="C833" s="218"/>
    </row>
    <row r="834" spans="3:3" customFormat="1" ht="15.75" customHeight="1" x14ac:dyDescent="0.2">
      <c r="C834" s="218"/>
    </row>
    <row r="835" spans="3:3" customFormat="1" ht="15.75" customHeight="1" x14ac:dyDescent="0.2">
      <c r="C835" s="218"/>
    </row>
    <row r="836" spans="3:3" customFormat="1" ht="15.75" customHeight="1" x14ac:dyDescent="0.2">
      <c r="C836" s="218"/>
    </row>
    <row r="837" spans="3:3" customFormat="1" ht="15.75" customHeight="1" x14ac:dyDescent="0.2">
      <c r="C837" s="218"/>
    </row>
    <row r="838" spans="3:3" customFormat="1" ht="15.75" customHeight="1" x14ac:dyDescent="0.2">
      <c r="C838" s="218"/>
    </row>
    <row r="839" spans="3:3" customFormat="1" ht="15.75" customHeight="1" x14ac:dyDescent="0.2">
      <c r="C839" s="218"/>
    </row>
    <row r="840" spans="3:3" customFormat="1" ht="15.75" customHeight="1" x14ac:dyDescent="0.2">
      <c r="C840" s="218"/>
    </row>
    <row r="841" spans="3:3" customFormat="1" ht="15.75" customHeight="1" x14ac:dyDescent="0.2">
      <c r="C841" s="218"/>
    </row>
    <row r="842" spans="3:3" customFormat="1" ht="15.75" customHeight="1" x14ac:dyDescent="0.2">
      <c r="C842" s="218"/>
    </row>
    <row r="843" spans="3:3" customFormat="1" ht="15.75" customHeight="1" x14ac:dyDescent="0.2">
      <c r="C843" s="218"/>
    </row>
    <row r="844" spans="3:3" customFormat="1" ht="15.75" customHeight="1" x14ac:dyDescent="0.2">
      <c r="C844" s="218"/>
    </row>
    <row r="845" spans="3:3" customFormat="1" ht="15.75" customHeight="1" x14ac:dyDescent="0.2">
      <c r="C845" s="218"/>
    </row>
    <row r="846" spans="3:3" customFormat="1" ht="15.75" customHeight="1" x14ac:dyDescent="0.2">
      <c r="C846" s="218"/>
    </row>
    <row r="847" spans="3:3" customFormat="1" ht="15.75" customHeight="1" x14ac:dyDescent="0.2">
      <c r="C847" s="218"/>
    </row>
    <row r="848" spans="3:3" customFormat="1" ht="15.75" customHeight="1" x14ac:dyDescent="0.2">
      <c r="C848" s="218"/>
    </row>
    <row r="849" spans="3:3" customFormat="1" ht="15.75" customHeight="1" x14ac:dyDescent="0.2">
      <c r="C849" s="218"/>
    </row>
    <row r="850" spans="3:3" customFormat="1" ht="15.75" customHeight="1" x14ac:dyDescent="0.2">
      <c r="C850" s="218"/>
    </row>
    <row r="851" spans="3:3" customFormat="1" ht="15.75" customHeight="1" x14ac:dyDescent="0.2">
      <c r="C851" s="218"/>
    </row>
    <row r="852" spans="3:3" customFormat="1" ht="15.75" customHeight="1" x14ac:dyDescent="0.2">
      <c r="C852" s="218"/>
    </row>
    <row r="853" spans="3:3" customFormat="1" ht="15.75" customHeight="1" x14ac:dyDescent="0.2">
      <c r="C853" s="218"/>
    </row>
    <row r="854" spans="3:3" customFormat="1" ht="15.75" customHeight="1" x14ac:dyDescent="0.2">
      <c r="C854" s="218"/>
    </row>
    <row r="855" spans="3:3" customFormat="1" ht="15.75" customHeight="1" x14ac:dyDescent="0.2">
      <c r="C855" s="218"/>
    </row>
    <row r="856" spans="3:3" customFormat="1" ht="15.75" customHeight="1" x14ac:dyDescent="0.2">
      <c r="C856" s="218"/>
    </row>
    <row r="857" spans="3:3" customFormat="1" ht="15.75" customHeight="1" x14ac:dyDescent="0.2">
      <c r="C857" s="218"/>
    </row>
    <row r="858" spans="3:3" customFormat="1" ht="15.75" customHeight="1" x14ac:dyDescent="0.2">
      <c r="C858" s="218"/>
    </row>
    <row r="859" spans="3:3" customFormat="1" ht="15.75" customHeight="1" x14ac:dyDescent="0.2">
      <c r="C859" s="218"/>
    </row>
    <row r="860" spans="3:3" customFormat="1" ht="15.75" customHeight="1" x14ac:dyDescent="0.2">
      <c r="C860" s="218"/>
    </row>
    <row r="861" spans="3:3" customFormat="1" ht="15.75" customHeight="1" x14ac:dyDescent="0.2">
      <c r="C861" s="218"/>
    </row>
    <row r="862" spans="3:3" customFormat="1" ht="15.75" customHeight="1" x14ac:dyDescent="0.2">
      <c r="C862" s="218"/>
    </row>
    <row r="863" spans="3:3" customFormat="1" ht="15.75" customHeight="1" x14ac:dyDescent="0.2">
      <c r="C863" s="218"/>
    </row>
    <row r="864" spans="3:3" customFormat="1" ht="15.75" customHeight="1" x14ac:dyDescent="0.2">
      <c r="C864" s="218"/>
    </row>
    <row r="865" spans="3:3" customFormat="1" ht="15.75" customHeight="1" x14ac:dyDescent="0.2">
      <c r="C865" s="218"/>
    </row>
    <row r="866" spans="3:3" customFormat="1" ht="15.75" customHeight="1" x14ac:dyDescent="0.2">
      <c r="C866" s="218"/>
    </row>
    <row r="867" spans="3:3" customFormat="1" ht="15.75" customHeight="1" x14ac:dyDescent="0.2">
      <c r="C867" s="218"/>
    </row>
    <row r="868" spans="3:3" customFormat="1" ht="15.75" customHeight="1" x14ac:dyDescent="0.2">
      <c r="C868" s="218"/>
    </row>
    <row r="869" spans="3:3" customFormat="1" ht="15.75" customHeight="1" x14ac:dyDescent="0.2">
      <c r="C869" s="218"/>
    </row>
    <row r="870" spans="3:3" customFormat="1" ht="15.75" customHeight="1" x14ac:dyDescent="0.2">
      <c r="C870" s="218"/>
    </row>
    <row r="871" spans="3:3" customFormat="1" ht="15.75" customHeight="1" x14ac:dyDescent="0.2">
      <c r="C871" s="218"/>
    </row>
    <row r="872" spans="3:3" customFormat="1" ht="15.75" customHeight="1" x14ac:dyDescent="0.2">
      <c r="C872" s="218"/>
    </row>
    <row r="873" spans="3:3" customFormat="1" ht="15.75" customHeight="1" x14ac:dyDescent="0.2">
      <c r="C873" s="218"/>
    </row>
    <row r="874" spans="3:3" customFormat="1" ht="15.75" customHeight="1" x14ac:dyDescent="0.2">
      <c r="C874" s="218"/>
    </row>
    <row r="875" spans="3:3" customFormat="1" ht="15.75" customHeight="1" x14ac:dyDescent="0.2">
      <c r="C875" s="218"/>
    </row>
    <row r="876" spans="3:3" customFormat="1" ht="15.75" customHeight="1" x14ac:dyDescent="0.2">
      <c r="C876" s="218"/>
    </row>
    <row r="877" spans="3:3" customFormat="1" ht="15.75" customHeight="1" x14ac:dyDescent="0.2">
      <c r="C877" s="218"/>
    </row>
    <row r="878" spans="3:3" customFormat="1" ht="15.75" customHeight="1" x14ac:dyDescent="0.2">
      <c r="C878" s="218"/>
    </row>
    <row r="879" spans="3:3" customFormat="1" ht="15.75" customHeight="1" x14ac:dyDescent="0.2">
      <c r="C879" s="218"/>
    </row>
    <row r="880" spans="3:3" customFormat="1" ht="15.75" customHeight="1" x14ac:dyDescent="0.2">
      <c r="C880" s="218"/>
    </row>
    <row r="881" spans="3:3" customFormat="1" ht="15.75" customHeight="1" x14ac:dyDescent="0.2">
      <c r="C881" s="218"/>
    </row>
    <row r="882" spans="3:3" customFormat="1" ht="15.75" customHeight="1" x14ac:dyDescent="0.2">
      <c r="C882" s="218"/>
    </row>
    <row r="883" spans="3:3" customFormat="1" ht="15.75" customHeight="1" x14ac:dyDescent="0.2">
      <c r="C883" s="218"/>
    </row>
    <row r="884" spans="3:3" customFormat="1" ht="15.75" customHeight="1" x14ac:dyDescent="0.2">
      <c r="C884" s="218"/>
    </row>
    <row r="885" spans="3:3" customFormat="1" ht="15.75" customHeight="1" x14ac:dyDescent="0.2">
      <c r="C885" s="218"/>
    </row>
    <row r="886" spans="3:3" customFormat="1" ht="15.75" customHeight="1" x14ac:dyDescent="0.2">
      <c r="C886" s="218"/>
    </row>
    <row r="887" spans="3:3" customFormat="1" ht="15.75" customHeight="1" x14ac:dyDescent="0.2">
      <c r="C887" s="218"/>
    </row>
    <row r="888" spans="3:3" customFormat="1" ht="15.75" customHeight="1" x14ac:dyDescent="0.2">
      <c r="C888" s="218"/>
    </row>
    <row r="889" spans="3:3" customFormat="1" ht="15.75" customHeight="1" x14ac:dyDescent="0.2">
      <c r="C889" s="218"/>
    </row>
    <row r="890" spans="3:3" customFormat="1" ht="15.75" customHeight="1" x14ac:dyDescent="0.2">
      <c r="C890" s="218"/>
    </row>
    <row r="891" spans="3:3" customFormat="1" ht="15.75" customHeight="1" x14ac:dyDescent="0.2">
      <c r="C891" s="218"/>
    </row>
    <row r="892" spans="3:3" customFormat="1" ht="15.75" customHeight="1" x14ac:dyDescent="0.2">
      <c r="C892" s="218"/>
    </row>
    <row r="893" spans="3:3" customFormat="1" ht="15.75" customHeight="1" x14ac:dyDescent="0.2">
      <c r="C893" s="218"/>
    </row>
    <row r="894" spans="3:3" customFormat="1" ht="15.75" customHeight="1" x14ac:dyDescent="0.2">
      <c r="C894" s="218"/>
    </row>
    <row r="895" spans="3:3" customFormat="1" ht="15.75" customHeight="1" x14ac:dyDescent="0.2">
      <c r="C895" s="218"/>
    </row>
    <row r="896" spans="3:3" customFormat="1" ht="15.75" customHeight="1" x14ac:dyDescent="0.2">
      <c r="C896" s="218"/>
    </row>
    <row r="897" spans="3:3" customFormat="1" ht="15.75" customHeight="1" x14ac:dyDescent="0.2">
      <c r="C897" s="218"/>
    </row>
    <row r="898" spans="3:3" customFormat="1" ht="15.75" customHeight="1" x14ac:dyDescent="0.2">
      <c r="C898" s="218"/>
    </row>
    <row r="899" spans="3:3" customFormat="1" ht="15.75" customHeight="1" x14ac:dyDescent="0.2">
      <c r="C899" s="218"/>
    </row>
    <row r="900" spans="3:3" customFormat="1" ht="15.75" customHeight="1" x14ac:dyDescent="0.2">
      <c r="C900" s="218"/>
    </row>
    <row r="901" spans="3:3" customFormat="1" ht="15.75" customHeight="1" x14ac:dyDescent="0.2">
      <c r="C901" s="218"/>
    </row>
    <row r="902" spans="3:3" customFormat="1" ht="15.75" customHeight="1" x14ac:dyDescent="0.2">
      <c r="C902" s="218"/>
    </row>
    <row r="903" spans="3:3" customFormat="1" ht="15.75" customHeight="1" x14ac:dyDescent="0.2">
      <c r="C903" s="218"/>
    </row>
    <row r="904" spans="3:3" customFormat="1" ht="15.75" customHeight="1" x14ac:dyDescent="0.2">
      <c r="C904" s="218"/>
    </row>
    <row r="905" spans="3:3" customFormat="1" ht="15.75" customHeight="1" x14ac:dyDescent="0.2">
      <c r="C905" s="218"/>
    </row>
    <row r="906" spans="3:3" customFormat="1" ht="15.75" customHeight="1" x14ac:dyDescent="0.2">
      <c r="C906" s="218"/>
    </row>
    <row r="907" spans="3:3" customFormat="1" ht="15.75" customHeight="1" x14ac:dyDescent="0.2">
      <c r="C907" s="218"/>
    </row>
    <row r="908" spans="3:3" customFormat="1" ht="15.75" customHeight="1" x14ac:dyDescent="0.2">
      <c r="C908" s="218"/>
    </row>
    <row r="909" spans="3:3" customFormat="1" ht="15.75" customHeight="1" x14ac:dyDescent="0.2">
      <c r="C909" s="218"/>
    </row>
    <row r="910" spans="3:3" customFormat="1" ht="15.75" customHeight="1" x14ac:dyDescent="0.2">
      <c r="C910" s="218"/>
    </row>
    <row r="911" spans="3:3" customFormat="1" ht="15.75" customHeight="1" x14ac:dyDescent="0.2">
      <c r="C911" s="218"/>
    </row>
    <row r="912" spans="3:3" customFormat="1" ht="15.75" customHeight="1" x14ac:dyDescent="0.2">
      <c r="C912" s="218"/>
    </row>
    <row r="913" spans="3:3" customFormat="1" ht="15.75" customHeight="1" x14ac:dyDescent="0.2">
      <c r="C913" s="218"/>
    </row>
    <row r="914" spans="3:3" customFormat="1" ht="15.75" customHeight="1" x14ac:dyDescent="0.2">
      <c r="C914" s="218"/>
    </row>
    <row r="915" spans="3:3" customFormat="1" ht="15.75" customHeight="1" x14ac:dyDescent="0.2">
      <c r="C915" s="218"/>
    </row>
    <row r="916" spans="3:3" customFormat="1" ht="15.75" customHeight="1" x14ac:dyDescent="0.2">
      <c r="C916" s="218"/>
    </row>
    <row r="917" spans="3:3" customFormat="1" ht="15.75" customHeight="1" x14ac:dyDescent="0.2">
      <c r="C917" s="218"/>
    </row>
    <row r="918" spans="3:3" customFormat="1" ht="15.75" customHeight="1" x14ac:dyDescent="0.2">
      <c r="C918" s="218"/>
    </row>
    <row r="919" spans="3:3" customFormat="1" ht="15.75" customHeight="1" x14ac:dyDescent="0.2">
      <c r="C919" s="218"/>
    </row>
    <row r="920" spans="3:3" customFormat="1" ht="15.75" customHeight="1" x14ac:dyDescent="0.2">
      <c r="C920" s="218"/>
    </row>
    <row r="921" spans="3:3" customFormat="1" ht="15.75" customHeight="1" x14ac:dyDescent="0.2">
      <c r="C921" s="218"/>
    </row>
    <row r="922" spans="3:3" customFormat="1" ht="15.75" customHeight="1" x14ac:dyDescent="0.2">
      <c r="C922" s="218"/>
    </row>
    <row r="923" spans="3:3" customFormat="1" ht="15.75" customHeight="1" x14ac:dyDescent="0.2">
      <c r="C923" s="218"/>
    </row>
    <row r="924" spans="3:3" customFormat="1" ht="15.75" customHeight="1" x14ac:dyDescent="0.2">
      <c r="C924" s="218"/>
    </row>
    <row r="925" spans="3:3" customFormat="1" ht="15.75" customHeight="1" x14ac:dyDescent="0.2">
      <c r="C925" s="218"/>
    </row>
    <row r="926" spans="3:3" customFormat="1" ht="15.75" customHeight="1" x14ac:dyDescent="0.2">
      <c r="C926" s="218"/>
    </row>
    <row r="927" spans="3:3" customFormat="1" ht="15.75" customHeight="1" x14ac:dyDescent="0.2">
      <c r="C927" s="218"/>
    </row>
    <row r="928" spans="3:3" customFormat="1" ht="15.75" customHeight="1" x14ac:dyDescent="0.2">
      <c r="C928" s="218"/>
    </row>
    <row r="929" spans="3:3" customFormat="1" ht="15.75" customHeight="1" x14ac:dyDescent="0.2">
      <c r="C929" s="218"/>
    </row>
    <row r="930" spans="3:3" customFormat="1" ht="15.75" customHeight="1" x14ac:dyDescent="0.2">
      <c r="C930" s="218"/>
    </row>
    <row r="931" spans="3:3" customFormat="1" ht="15.75" customHeight="1" x14ac:dyDescent="0.2">
      <c r="C931" s="218"/>
    </row>
    <row r="932" spans="3:3" customFormat="1" ht="15.75" customHeight="1" x14ac:dyDescent="0.2">
      <c r="C932" s="218"/>
    </row>
    <row r="933" spans="3:3" customFormat="1" ht="15.75" customHeight="1" x14ac:dyDescent="0.2">
      <c r="C933" s="218"/>
    </row>
    <row r="934" spans="3:3" customFormat="1" ht="15.75" customHeight="1" x14ac:dyDescent="0.2">
      <c r="C934" s="218"/>
    </row>
    <row r="935" spans="3:3" customFormat="1" ht="15.75" customHeight="1" x14ac:dyDescent="0.2">
      <c r="C935" s="218"/>
    </row>
    <row r="936" spans="3:3" customFormat="1" ht="15.75" customHeight="1" x14ac:dyDescent="0.2">
      <c r="C936" s="218"/>
    </row>
    <row r="937" spans="3:3" customFormat="1" ht="15.75" customHeight="1" x14ac:dyDescent="0.2">
      <c r="C937" s="218"/>
    </row>
    <row r="938" spans="3:3" customFormat="1" ht="15.75" customHeight="1" x14ac:dyDescent="0.2">
      <c r="C938" s="218"/>
    </row>
    <row r="939" spans="3:3" customFormat="1" ht="15.75" customHeight="1" x14ac:dyDescent="0.2">
      <c r="C939" s="218"/>
    </row>
    <row r="940" spans="3:3" customFormat="1" ht="15.75" customHeight="1" x14ac:dyDescent="0.2">
      <c r="C940" s="218"/>
    </row>
    <row r="941" spans="3:3" customFormat="1" ht="15.75" customHeight="1" x14ac:dyDescent="0.2">
      <c r="C941" s="218"/>
    </row>
    <row r="942" spans="3:3" customFormat="1" ht="15.75" customHeight="1" x14ac:dyDescent="0.2">
      <c r="C942" s="218"/>
    </row>
    <row r="943" spans="3:3" customFormat="1" ht="15.75" customHeight="1" x14ac:dyDescent="0.2">
      <c r="C943" s="218"/>
    </row>
    <row r="944" spans="3:3" customFormat="1" ht="15.75" customHeight="1" x14ac:dyDescent="0.2">
      <c r="C944" s="218"/>
    </row>
    <row r="945" spans="3:3" customFormat="1" ht="15.75" customHeight="1" x14ac:dyDescent="0.2">
      <c r="C945" s="218"/>
    </row>
    <row r="946" spans="3:3" customFormat="1" ht="15.75" customHeight="1" x14ac:dyDescent="0.2">
      <c r="C946" s="218"/>
    </row>
    <row r="947" spans="3:3" customFormat="1" ht="15.75" customHeight="1" x14ac:dyDescent="0.2">
      <c r="C947" s="218"/>
    </row>
    <row r="948" spans="3:3" customFormat="1" ht="15.75" customHeight="1" x14ac:dyDescent="0.2">
      <c r="C948" s="218"/>
    </row>
    <row r="949" spans="3:3" customFormat="1" ht="15.75" customHeight="1" x14ac:dyDescent="0.2">
      <c r="C949" s="218"/>
    </row>
    <row r="950" spans="3:3" customFormat="1" ht="15.75" customHeight="1" x14ac:dyDescent="0.2">
      <c r="C950" s="218"/>
    </row>
    <row r="951" spans="3:3" customFormat="1" ht="15.75" customHeight="1" x14ac:dyDescent="0.2">
      <c r="C951" s="218"/>
    </row>
    <row r="952" spans="3:3" customFormat="1" ht="15.75" customHeight="1" x14ac:dyDescent="0.2">
      <c r="C952" s="218"/>
    </row>
    <row r="953" spans="3:3" customFormat="1" ht="15.75" customHeight="1" x14ac:dyDescent="0.2">
      <c r="C953" s="218"/>
    </row>
    <row r="954" spans="3:3" customFormat="1" ht="15.75" customHeight="1" x14ac:dyDescent="0.2">
      <c r="C954" s="218"/>
    </row>
    <row r="955" spans="3:3" customFormat="1" ht="15.75" customHeight="1" x14ac:dyDescent="0.2">
      <c r="C955" s="218"/>
    </row>
    <row r="956" spans="3:3" customFormat="1" ht="15.75" customHeight="1" x14ac:dyDescent="0.2">
      <c r="C956" s="218"/>
    </row>
    <row r="957" spans="3:3" customFormat="1" ht="15.75" customHeight="1" x14ac:dyDescent="0.2">
      <c r="C957" s="218"/>
    </row>
    <row r="958" spans="3:3" customFormat="1" ht="15.75" customHeight="1" x14ac:dyDescent="0.2">
      <c r="C958" s="218"/>
    </row>
    <row r="959" spans="3:3" customFormat="1" ht="15.75" customHeight="1" x14ac:dyDescent="0.2">
      <c r="C959" s="218"/>
    </row>
    <row r="960" spans="3:3" customFormat="1" ht="15.75" customHeight="1" x14ac:dyDescent="0.2">
      <c r="C960" s="218"/>
    </row>
    <row r="961" spans="3:3" customFormat="1" ht="15.75" customHeight="1" x14ac:dyDescent="0.2">
      <c r="C961" s="218"/>
    </row>
    <row r="962" spans="3:3" customFormat="1" ht="15.75" customHeight="1" x14ac:dyDescent="0.2">
      <c r="C962" s="218"/>
    </row>
    <row r="963" spans="3:3" customFormat="1" ht="15.75" customHeight="1" x14ac:dyDescent="0.2">
      <c r="C963" s="218"/>
    </row>
    <row r="964" spans="3:3" customFormat="1" ht="15.75" customHeight="1" x14ac:dyDescent="0.2">
      <c r="C964" s="218"/>
    </row>
    <row r="965" spans="3:3" customFormat="1" ht="15.75" customHeight="1" x14ac:dyDescent="0.2">
      <c r="C965" s="218"/>
    </row>
    <row r="966" spans="3:3" customFormat="1" ht="15.75" customHeight="1" x14ac:dyDescent="0.2">
      <c r="C966" s="218"/>
    </row>
    <row r="967" spans="3:3" customFormat="1" ht="15.75" customHeight="1" x14ac:dyDescent="0.2">
      <c r="C967" s="218"/>
    </row>
    <row r="968" spans="3:3" customFormat="1" ht="15.75" customHeight="1" x14ac:dyDescent="0.2">
      <c r="C968" s="218"/>
    </row>
    <row r="969" spans="3:3" customFormat="1" ht="15.75" customHeight="1" x14ac:dyDescent="0.2">
      <c r="C969" s="218"/>
    </row>
    <row r="970" spans="3:3" customFormat="1" ht="15.75" customHeight="1" x14ac:dyDescent="0.2">
      <c r="C970" s="218"/>
    </row>
    <row r="971" spans="3:3" customFormat="1" ht="15.75" customHeight="1" x14ac:dyDescent="0.2">
      <c r="C971" s="218"/>
    </row>
    <row r="972" spans="3:3" customFormat="1" ht="15.75" customHeight="1" x14ac:dyDescent="0.2">
      <c r="C972" s="218"/>
    </row>
    <row r="973" spans="3:3" customFormat="1" ht="15.75" customHeight="1" x14ac:dyDescent="0.2">
      <c r="C973" s="218"/>
    </row>
    <row r="974" spans="3:3" customFormat="1" ht="15.75" customHeight="1" x14ac:dyDescent="0.2">
      <c r="C974" s="218"/>
    </row>
    <row r="975" spans="3:3" customFormat="1" ht="15.75" customHeight="1" x14ac:dyDescent="0.2">
      <c r="C975" s="218"/>
    </row>
    <row r="976" spans="3:3" customFormat="1" ht="15.75" customHeight="1" x14ac:dyDescent="0.2">
      <c r="C976" s="218"/>
    </row>
    <row r="977" spans="3:3" customFormat="1" ht="15.75" customHeight="1" x14ac:dyDescent="0.2">
      <c r="C977" s="218"/>
    </row>
    <row r="978" spans="3:3" customFormat="1" ht="15.75" customHeight="1" x14ac:dyDescent="0.2">
      <c r="C978" s="218"/>
    </row>
    <row r="979" spans="3:3" customFormat="1" ht="15.75" customHeight="1" x14ac:dyDescent="0.2">
      <c r="C979" s="218"/>
    </row>
    <row r="980" spans="3:3" customFormat="1" ht="15.75" customHeight="1" x14ac:dyDescent="0.2">
      <c r="C980" s="218"/>
    </row>
    <row r="981" spans="3:3" customFormat="1" ht="15.75" customHeight="1" x14ac:dyDescent="0.2">
      <c r="C981" s="218"/>
    </row>
    <row r="982" spans="3:3" customFormat="1" ht="15.75" customHeight="1" x14ac:dyDescent="0.2">
      <c r="C982" s="218"/>
    </row>
    <row r="983" spans="3:3" customFormat="1" ht="15.75" customHeight="1" x14ac:dyDescent="0.2">
      <c r="C983" s="218"/>
    </row>
    <row r="984" spans="3:3" customFormat="1" ht="15.75" customHeight="1" x14ac:dyDescent="0.2">
      <c r="C984" s="218"/>
    </row>
    <row r="985" spans="3:3" customFormat="1" ht="15.75" customHeight="1" x14ac:dyDescent="0.2">
      <c r="C985" s="218"/>
    </row>
    <row r="986" spans="3:3" customFormat="1" ht="15.75" customHeight="1" x14ac:dyDescent="0.2">
      <c r="C986" s="218"/>
    </row>
    <row r="987" spans="3:3" customFormat="1" ht="15.75" customHeight="1" x14ac:dyDescent="0.2">
      <c r="C987" s="218"/>
    </row>
    <row r="988" spans="3:3" customFormat="1" ht="15.75" customHeight="1" x14ac:dyDescent="0.2">
      <c r="C988" s="218"/>
    </row>
    <row r="989" spans="3:3" customFormat="1" ht="15.75" customHeight="1" x14ac:dyDescent="0.2">
      <c r="C989" s="218"/>
    </row>
    <row r="990" spans="3:3" customFormat="1" ht="15.75" customHeight="1" x14ac:dyDescent="0.2">
      <c r="C990" s="218"/>
    </row>
    <row r="991" spans="3:3" customFormat="1" ht="15.75" customHeight="1" x14ac:dyDescent="0.2">
      <c r="C991" s="218"/>
    </row>
    <row r="992" spans="3:3" customFormat="1" ht="15.75" customHeight="1" x14ac:dyDescent="0.2">
      <c r="C992" s="218"/>
    </row>
    <row r="993" spans="3:3" customFormat="1" ht="15.75" customHeight="1" x14ac:dyDescent="0.2">
      <c r="C993" s="21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G25" sqref="G25 G25"/>
    </sheetView>
  </sheetViews>
  <sheetFormatPr defaultColWidth="17.28515625" defaultRowHeight="15" customHeight="1" x14ac:dyDescent="0.2"/>
  <cols>
    <col min="1" max="1" width="13.28515625" style="98" customWidth="1"/>
    <col min="2" max="2" width="60.7109375" style="102" customWidth="1"/>
    <col min="3" max="3" width="12.7109375" style="98" customWidth="1"/>
    <col min="4" max="5" width="14.7109375" customWidth="1"/>
    <col min="6" max="22" width="8" customWidth="1"/>
  </cols>
  <sheetData>
    <row r="1" spans="1:25" s="1" customFormat="1" ht="15" customHeight="1" x14ac:dyDescent="0.2">
      <c r="A1" s="155" t="s">
        <v>48</v>
      </c>
      <c r="B1" s="157" t="s">
        <v>49</v>
      </c>
      <c r="C1" s="155" t="s">
        <v>34</v>
      </c>
      <c r="D1" s="158" t="s">
        <v>35</v>
      </c>
      <c r="E1" s="156" t="s">
        <v>50</v>
      </c>
      <c r="F1" s="159" t="s">
        <v>39</v>
      </c>
    </row>
    <row r="2" spans="1:25" ht="50.1" customHeight="1" x14ac:dyDescent="0.2">
      <c r="A2" s="325" t="s">
        <v>2815</v>
      </c>
      <c r="B2" s="339"/>
      <c r="C2" s="339"/>
      <c r="D2" s="339"/>
      <c r="E2" s="339"/>
      <c r="F2" s="37"/>
      <c r="G2" s="37"/>
      <c r="H2" s="37"/>
      <c r="I2" s="37"/>
      <c r="J2" s="37"/>
      <c r="K2" s="37"/>
      <c r="L2" s="37"/>
      <c r="M2" s="37"/>
      <c r="N2" s="37"/>
      <c r="O2" s="37"/>
      <c r="P2" s="37"/>
      <c r="Q2" s="37"/>
      <c r="R2" s="37"/>
      <c r="S2" s="37"/>
      <c r="T2" s="37"/>
      <c r="U2" s="37"/>
      <c r="V2" s="37"/>
    </row>
    <row r="3" spans="1:25" s="31" customFormat="1" ht="48" customHeight="1" x14ac:dyDescent="0.2">
      <c r="A3" s="138" t="s">
        <v>1964</v>
      </c>
      <c r="B3" s="139" t="s">
        <v>41</v>
      </c>
      <c r="C3" s="140" t="s">
        <v>42</v>
      </c>
      <c r="D3" s="139" t="s">
        <v>2816</v>
      </c>
      <c r="E3" s="141" t="s">
        <v>2817</v>
      </c>
      <c r="F3" s="127"/>
      <c r="G3" s="127"/>
      <c r="H3" s="127"/>
      <c r="I3" s="127"/>
      <c r="J3" s="127"/>
      <c r="K3" s="127"/>
      <c r="L3" s="127"/>
      <c r="M3" s="127"/>
      <c r="N3" s="127"/>
      <c r="O3" s="127"/>
      <c r="P3" s="127"/>
      <c r="Q3" s="127"/>
      <c r="R3" s="127"/>
      <c r="S3" s="127"/>
      <c r="T3" s="127"/>
      <c r="U3" s="127"/>
      <c r="V3" s="127"/>
    </row>
    <row r="4" spans="1:25" s="118" customFormat="1" ht="12" customHeight="1" x14ac:dyDescent="0.2">
      <c r="A4" s="142">
        <v>1</v>
      </c>
      <c r="B4" s="144">
        <v>2</v>
      </c>
      <c r="C4" s="210" t="s">
        <v>56</v>
      </c>
      <c r="D4" s="210">
        <v>4</v>
      </c>
      <c r="E4" s="143">
        <v>5</v>
      </c>
      <c r="F4" s="191"/>
      <c r="G4" s="191"/>
      <c r="H4" s="191"/>
      <c r="I4" s="191"/>
      <c r="J4" s="191"/>
      <c r="K4" s="191"/>
      <c r="L4" s="191"/>
      <c r="M4" s="191"/>
      <c r="N4" s="191"/>
      <c r="O4" s="191"/>
      <c r="P4" s="191"/>
      <c r="Q4" s="191"/>
      <c r="R4" s="191"/>
      <c r="S4" s="191"/>
      <c r="T4" s="191"/>
      <c r="U4" s="191"/>
      <c r="V4" s="191"/>
      <c r="W4" s="191"/>
      <c r="X4" s="191"/>
      <c r="Y4" s="191"/>
    </row>
    <row r="5" spans="1:25" ht="13.5" customHeight="1" x14ac:dyDescent="0.2">
      <c r="A5" s="219" t="s">
        <v>2818</v>
      </c>
      <c r="B5" s="220" t="s">
        <v>2819</v>
      </c>
      <c r="C5" s="221" t="s">
        <v>2818</v>
      </c>
      <c r="D5" s="276">
        <f>D6+D22</f>
        <v>71806.94</v>
      </c>
      <c r="E5" s="281">
        <f>E6+E22</f>
        <v>0</v>
      </c>
      <c r="F5" s="36"/>
      <c r="G5" s="36"/>
      <c r="H5" s="36"/>
      <c r="I5" s="36"/>
      <c r="J5" s="36"/>
      <c r="K5" s="36"/>
      <c r="L5" s="36"/>
      <c r="M5" s="36"/>
      <c r="N5" s="36"/>
      <c r="O5" s="36"/>
      <c r="P5" s="36"/>
      <c r="Q5" s="36"/>
      <c r="R5" s="36"/>
      <c r="S5" s="36"/>
      <c r="T5" s="36"/>
      <c r="U5" s="36"/>
      <c r="V5" s="36"/>
    </row>
    <row r="6" spans="1:25" ht="13.5" customHeight="1" x14ac:dyDescent="0.2">
      <c r="A6" s="222" t="s">
        <v>2820</v>
      </c>
      <c r="B6" s="223" t="s">
        <v>2821</v>
      </c>
      <c r="C6" s="224" t="s">
        <v>2820</v>
      </c>
      <c r="D6" s="277">
        <f>D7+D14</f>
        <v>66895.62</v>
      </c>
      <c r="E6" s="282">
        <f>E7+E14</f>
        <v>0</v>
      </c>
      <c r="F6" s="36"/>
      <c r="G6" s="36"/>
      <c r="H6" s="36"/>
      <c r="I6" s="36"/>
      <c r="J6" s="36"/>
      <c r="K6" s="36"/>
      <c r="L6" s="36"/>
      <c r="M6" s="36"/>
      <c r="N6" s="36"/>
      <c r="O6" s="36"/>
      <c r="P6" s="36"/>
      <c r="Q6" s="36"/>
      <c r="R6" s="36"/>
      <c r="S6" s="36"/>
      <c r="T6" s="36"/>
      <c r="U6" s="36"/>
      <c r="V6" s="36"/>
    </row>
    <row r="7" spans="1:25" ht="24" customHeight="1" x14ac:dyDescent="0.2">
      <c r="A7" s="222"/>
      <c r="B7" s="223" t="s">
        <v>2822</v>
      </c>
      <c r="C7" s="224" t="s">
        <v>2823</v>
      </c>
      <c r="D7" s="277">
        <f>SUM(D8:D13)</f>
        <v>66895.62</v>
      </c>
      <c r="E7" s="282">
        <f>SUM(E8:E13)</f>
        <v>0</v>
      </c>
      <c r="F7" s="36"/>
      <c r="G7" s="36"/>
      <c r="H7" s="36"/>
      <c r="I7" s="36"/>
      <c r="J7" s="36"/>
      <c r="K7" s="36"/>
      <c r="L7" s="36"/>
      <c r="M7" s="36"/>
      <c r="N7" s="36"/>
      <c r="O7" s="36"/>
      <c r="P7" s="36"/>
      <c r="Q7" s="36"/>
      <c r="R7" s="36"/>
      <c r="S7" s="36"/>
      <c r="T7" s="36"/>
      <c r="U7" s="36"/>
      <c r="V7" s="36"/>
    </row>
    <row r="8" spans="1:25" ht="13.5" customHeight="1" x14ac:dyDescent="0.2">
      <c r="A8" s="222"/>
      <c r="B8" s="223" t="s">
        <v>2824</v>
      </c>
      <c r="C8" s="224" t="s">
        <v>2825</v>
      </c>
      <c r="D8" s="278"/>
      <c r="E8" s="280"/>
      <c r="F8" s="36"/>
      <c r="G8" s="36"/>
      <c r="H8" s="36"/>
      <c r="I8" s="36"/>
      <c r="J8" s="36"/>
      <c r="K8" s="36"/>
      <c r="L8" s="36"/>
      <c r="M8" s="36"/>
      <c r="N8" s="36"/>
      <c r="O8" s="36"/>
      <c r="P8" s="36"/>
      <c r="Q8" s="36"/>
      <c r="R8" s="36"/>
      <c r="S8" s="36"/>
      <c r="T8" s="36"/>
      <c r="U8" s="36"/>
      <c r="V8" s="36"/>
    </row>
    <row r="9" spans="1:25" ht="13.5" customHeight="1" x14ac:dyDescent="0.2">
      <c r="A9" s="222"/>
      <c r="B9" s="223" t="s">
        <v>2826</v>
      </c>
      <c r="C9" s="224" t="s">
        <v>2827</v>
      </c>
      <c r="D9" s="278">
        <v>66895.62</v>
      </c>
      <c r="E9" s="280"/>
      <c r="F9" s="36"/>
      <c r="G9" s="36"/>
      <c r="H9" s="36"/>
      <c r="I9" s="36"/>
      <c r="J9" s="36"/>
      <c r="K9" s="36"/>
      <c r="L9" s="36"/>
      <c r="M9" s="36"/>
      <c r="N9" s="36"/>
      <c r="O9" s="36"/>
      <c r="P9" s="36"/>
      <c r="Q9" s="36"/>
      <c r="R9" s="36"/>
      <c r="S9" s="36"/>
      <c r="T9" s="36"/>
      <c r="U9" s="36"/>
      <c r="V9" s="36"/>
    </row>
    <row r="10" spans="1:25" ht="13.5" customHeight="1" x14ac:dyDescent="0.2">
      <c r="A10" s="222"/>
      <c r="B10" s="223" t="s">
        <v>2057</v>
      </c>
      <c r="C10" s="224" t="s">
        <v>2828</v>
      </c>
      <c r="D10" s="278"/>
      <c r="E10" s="280"/>
      <c r="F10" s="36"/>
      <c r="G10" s="36"/>
      <c r="H10" s="36"/>
      <c r="I10" s="36"/>
      <c r="J10" s="36"/>
      <c r="K10" s="36"/>
      <c r="L10" s="36"/>
      <c r="M10" s="36"/>
      <c r="N10" s="36"/>
      <c r="O10" s="36"/>
      <c r="P10" s="36"/>
      <c r="Q10" s="36"/>
      <c r="R10" s="36"/>
      <c r="S10" s="36"/>
      <c r="T10" s="36"/>
      <c r="U10" s="36"/>
      <c r="V10" s="36"/>
    </row>
    <row r="11" spans="1:25" ht="13.5" customHeight="1" x14ac:dyDescent="0.2">
      <c r="A11" s="222"/>
      <c r="B11" s="223" t="s">
        <v>393</v>
      </c>
      <c r="C11" s="224" t="s">
        <v>2829</v>
      </c>
      <c r="D11" s="278"/>
      <c r="E11" s="280"/>
      <c r="F11" s="36"/>
      <c r="G11" s="36"/>
      <c r="H11" s="36"/>
      <c r="I11" s="36"/>
      <c r="J11" s="36"/>
      <c r="K11" s="36"/>
      <c r="L11" s="36"/>
      <c r="M11" s="36"/>
      <c r="N11" s="36"/>
      <c r="O11" s="36"/>
      <c r="P11" s="36"/>
      <c r="Q11" s="36"/>
      <c r="R11" s="36"/>
      <c r="S11" s="36"/>
      <c r="T11" s="36"/>
      <c r="U11" s="36"/>
      <c r="V11" s="36"/>
    </row>
    <row r="12" spans="1:25" ht="13.5" customHeight="1" x14ac:dyDescent="0.2">
      <c r="A12" s="222"/>
      <c r="B12" s="223" t="s">
        <v>2830</v>
      </c>
      <c r="C12" s="224" t="s">
        <v>2831</v>
      </c>
      <c r="D12" s="278"/>
      <c r="E12" s="280"/>
      <c r="F12" s="36"/>
      <c r="G12" s="36"/>
      <c r="H12" s="36"/>
      <c r="I12" s="36"/>
      <c r="J12" s="36"/>
      <c r="K12" s="36"/>
      <c r="L12" s="36"/>
      <c r="M12" s="36"/>
      <c r="N12" s="36"/>
      <c r="O12" s="36"/>
      <c r="P12" s="36"/>
      <c r="Q12" s="36"/>
      <c r="R12" s="36"/>
      <c r="S12" s="36"/>
      <c r="T12" s="36"/>
      <c r="U12" s="36"/>
      <c r="V12" s="36"/>
    </row>
    <row r="13" spans="1:25" ht="13.5" customHeight="1" x14ac:dyDescent="0.2">
      <c r="A13" s="222"/>
      <c r="B13" s="223" t="s">
        <v>2832</v>
      </c>
      <c r="C13" s="224" t="s">
        <v>2833</v>
      </c>
      <c r="D13" s="278"/>
      <c r="E13" s="280"/>
      <c r="F13" s="36"/>
      <c r="G13" s="36"/>
      <c r="H13" s="36"/>
      <c r="I13" s="36"/>
      <c r="J13" s="36"/>
      <c r="K13" s="36"/>
      <c r="L13" s="36"/>
      <c r="M13" s="36"/>
      <c r="N13" s="36"/>
      <c r="O13" s="36"/>
      <c r="P13" s="36"/>
      <c r="Q13" s="36"/>
      <c r="R13" s="36"/>
      <c r="S13" s="36"/>
      <c r="T13" s="36"/>
      <c r="U13" s="36"/>
      <c r="V13" s="36"/>
    </row>
    <row r="14" spans="1:25" ht="24" customHeight="1" x14ac:dyDescent="0.2">
      <c r="A14" s="222"/>
      <c r="B14" s="223" t="s">
        <v>2834</v>
      </c>
      <c r="C14" s="224" t="s">
        <v>2835</v>
      </c>
      <c r="D14" s="277">
        <f>SUM(D15:D21)</f>
        <v>0</v>
      </c>
      <c r="E14" s="277">
        <f>SUM(E15:E21)</f>
        <v>0</v>
      </c>
      <c r="F14" s="36"/>
      <c r="G14" s="36"/>
      <c r="H14" s="36"/>
      <c r="I14" s="36"/>
      <c r="J14" s="36"/>
      <c r="K14" s="36"/>
      <c r="L14" s="36"/>
      <c r="M14" s="36"/>
      <c r="N14" s="36"/>
      <c r="O14" s="36"/>
      <c r="P14" s="36"/>
      <c r="Q14" s="36"/>
      <c r="R14" s="36"/>
      <c r="S14" s="36"/>
      <c r="T14" s="36"/>
      <c r="U14" s="36"/>
      <c r="V14" s="36"/>
    </row>
    <row r="15" spans="1:25" ht="13.5" customHeight="1" x14ac:dyDescent="0.2">
      <c r="A15" s="222"/>
      <c r="B15" s="223" t="s">
        <v>2836</v>
      </c>
      <c r="C15" s="224" t="s">
        <v>2837</v>
      </c>
      <c r="D15" s="278"/>
      <c r="E15" s="280"/>
      <c r="F15" s="36"/>
      <c r="G15" s="36"/>
      <c r="H15" s="36"/>
      <c r="I15" s="36"/>
      <c r="J15" s="36"/>
      <c r="K15" s="36"/>
      <c r="L15" s="36"/>
      <c r="M15" s="36"/>
      <c r="N15" s="36"/>
      <c r="O15" s="36"/>
      <c r="P15" s="36"/>
      <c r="Q15" s="36"/>
      <c r="R15" s="36"/>
      <c r="S15" s="36"/>
      <c r="T15" s="36"/>
      <c r="U15" s="36"/>
      <c r="V15" s="36"/>
    </row>
    <row r="16" spans="1:25" ht="24" customHeight="1" x14ac:dyDescent="0.2">
      <c r="A16" s="222"/>
      <c r="B16" s="223" t="s">
        <v>2838</v>
      </c>
      <c r="C16" s="224" t="s">
        <v>2839</v>
      </c>
      <c r="D16" s="278"/>
      <c r="E16" s="280"/>
      <c r="F16" s="36"/>
      <c r="G16" s="36"/>
      <c r="H16" s="36"/>
      <c r="I16" s="36"/>
      <c r="J16" s="36"/>
      <c r="K16" s="36"/>
      <c r="L16" s="36"/>
      <c r="M16" s="36"/>
      <c r="N16" s="36"/>
      <c r="O16" s="36"/>
      <c r="P16" s="36"/>
      <c r="Q16" s="36"/>
      <c r="R16" s="36"/>
      <c r="S16" s="36"/>
      <c r="T16" s="36"/>
      <c r="U16" s="36"/>
      <c r="V16" s="36"/>
    </row>
    <row r="17" spans="1:22" ht="13.5" customHeight="1" x14ac:dyDescent="0.2">
      <c r="A17" s="222"/>
      <c r="B17" s="223" t="s">
        <v>2840</v>
      </c>
      <c r="C17" s="224" t="s">
        <v>2841</v>
      </c>
      <c r="D17" s="278"/>
      <c r="E17" s="280"/>
      <c r="F17" s="36"/>
      <c r="G17" s="36"/>
      <c r="H17" s="36"/>
      <c r="I17" s="36"/>
      <c r="J17" s="36"/>
      <c r="K17" s="36"/>
      <c r="L17" s="36"/>
      <c r="M17" s="36"/>
      <c r="N17" s="36"/>
      <c r="O17" s="36"/>
      <c r="P17" s="36"/>
      <c r="Q17" s="36"/>
      <c r="R17" s="36"/>
      <c r="S17" s="36"/>
      <c r="T17" s="36"/>
      <c r="U17" s="36"/>
      <c r="V17" s="36"/>
    </row>
    <row r="18" spans="1:22" ht="13.5" customHeight="1" x14ac:dyDescent="0.2">
      <c r="A18" s="222"/>
      <c r="B18" s="223" t="s">
        <v>2842</v>
      </c>
      <c r="C18" s="224" t="s">
        <v>2843</v>
      </c>
      <c r="D18" s="278"/>
      <c r="E18" s="280"/>
      <c r="F18" s="36"/>
      <c r="G18" s="36"/>
      <c r="H18" s="36"/>
      <c r="I18" s="36"/>
      <c r="J18" s="36"/>
      <c r="K18" s="36"/>
      <c r="L18" s="36"/>
      <c r="M18" s="36"/>
      <c r="N18" s="36"/>
      <c r="O18" s="36"/>
      <c r="P18" s="36"/>
      <c r="Q18" s="36"/>
      <c r="R18" s="36"/>
      <c r="S18" s="36"/>
      <c r="T18" s="36"/>
      <c r="U18" s="36"/>
      <c r="V18" s="36"/>
    </row>
    <row r="19" spans="1:22" ht="13.5" customHeight="1" x14ac:dyDescent="0.2">
      <c r="A19" s="222"/>
      <c r="B19" s="223" t="s">
        <v>2844</v>
      </c>
      <c r="C19" s="224" t="s">
        <v>2845</v>
      </c>
      <c r="D19" s="278"/>
      <c r="E19" s="280"/>
      <c r="F19" s="36"/>
      <c r="G19" s="36"/>
      <c r="H19" s="36"/>
      <c r="I19" s="36"/>
      <c r="J19" s="36"/>
      <c r="K19" s="36"/>
      <c r="L19" s="36"/>
      <c r="M19" s="36"/>
      <c r="N19" s="36"/>
      <c r="O19" s="36"/>
      <c r="P19" s="36"/>
      <c r="Q19" s="36"/>
      <c r="R19" s="36"/>
      <c r="S19" s="36"/>
      <c r="T19" s="36"/>
      <c r="U19" s="36"/>
      <c r="V19" s="36"/>
    </row>
    <row r="20" spans="1:22" ht="13.5" customHeight="1" x14ac:dyDescent="0.2">
      <c r="A20" s="222"/>
      <c r="B20" s="223" t="s">
        <v>2846</v>
      </c>
      <c r="C20" s="224" t="s">
        <v>2847</v>
      </c>
      <c r="D20" s="278"/>
      <c r="E20" s="280"/>
      <c r="F20" s="36"/>
      <c r="G20" s="36"/>
      <c r="H20" s="36"/>
      <c r="I20" s="36"/>
      <c r="J20" s="36"/>
      <c r="K20" s="36"/>
      <c r="L20" s="36"/>
      <c r="M20" s="36"/>
      <c r="N20" s="36"/>
      <c r="O20" s="36"/>
      <c r="P20" s="36"/>
      <c r="Q20" s="36"/>
      <c r="R20" s="36"/>
      <c r="S20" s="36"/>
      <c r="T20" s="36"/>
      <c r="U20" s="36"/>
      <c r="V20" s="36"/>
    </row>
    <row r="21" spans="1:22" ht="13.5" customHeight="1" x14ac:dyDescent="0.2">
      <c r="A21" s="222"/>
      <c r="B21" s="223" t="s">
        <v>2848</v>
      </c>
      <c r="C21" s="224" t="s">
        <v>2849</v>
      </c>
      <c r="D21" s="278"/>
      <c r="E21" s="280"/>
      <c r="F21" s="36"/>
      <c r="G21" s="36"/>
      <c r="H21" s="36"/>
      <c r="I21" s="36"/>
      <c r="J21" s="36"/>
      <c r="K21" s="36"/>
      <c r="L21" s="36"/>
      <c r="M21" s="36"/>
      <c r="N21" s="36"/>
      <c r="O21" s="36"/>
      <c r="P21" s="36"/>
      <c r="Q21" s="36"/>
      <c r="R21" s="36"/>
      <c r="S21" s="36"/>
      <c r="T21" s="36"/>
      <c r="U21" s="36"/>
      <c r="V21" s="36"/>
    </row>
    <row r="22" spans="1:22" ht="13.5" customHeight="1" x14ac:dyDescent="0.2">
      <c r="A22" s="222" t="s">
        <v>2850</v>
      </c>
      <c r="B22" s="223" t="s">
        <v>2851</v>
      </c>
      <c r="C22" s="224" t="s">
        <v>2850</v>
      </c>
      <c r="D22" s="277">
        <f>D23+D30</f>
        <v>4911.32</v>
      </c>
      <c r="E22" s="282">
        <f>E23+E30</f>
        <v>0</v>
      </c>
      <c r="F22" s="36"/>
      <c r="G22" s="36"/>
      <c r="H22" s="36"/>
      <c r="I22" s="36"/>
      <c r="J22" s="36"/>
      <c r="K22" s="36"/>
      <c r="L22" s="36"/>
      <c r="M22" s="36"/>
      <c r="N22" s="36"/>
      <c r="O22" s="36"/>
      <c r="P22" s="36"/>
      <c r="Q22" s="36"/>
      <c r="R22" s="36"/>
      <c r="S22" s="36"/>
      <c r="T22" s="36"/>
      <c r="U22" s="36"/>
      <c r="V22" s="36"/>
    </row>
    <row r="23" spans="1:22" ht="13.5" customHeight="1" x14ac:dyDescent="0.2">
      <c r="A23" s="222"/>
      <c r="B23" s="223" t="s">
        <v>2852</v>
      </c>
      <c r="C23" s="224" t="s">
        <v>2853</v>
      </c>
      <c r="D23" s="277">
        <f>SUM(D24:D29)</f>
        <v>4911.32</v>
      </c>
      <c r="E23" s="282">
        <f>SUM(E24:E29)</f>
        <v>0</v>
      </c>
      <c r="F23" s="36"/>
      <c r="G23" s="36"/>
      <c r="H23" s="36"/>
      <c r="I23" s="36"/>
      <c r="J23" s="36"/>
      <c r="K23" s="36"/>
      <c r="L23" s="36"/>
      <c r="M23" s="36"/>
      <c r="N23" s="36"/>
      <c r="O23" s="36"/>
      <c r="P23" s="36"/>
      <c r="Q23" s="36"/>
      <c r="R23" s="36"/>
      <c r="S23" s="36"/>
      <c r="T23" s="36"/>
      <c r="U23" s="36"/>
      <c r="V23" s="36"/>
    </row>
    <row r="24" spans="1:22" ht="13.5" customHeight="1" x14ac:dyDescent="0.2">
      <c r="A24" s="222"/>
      <c r="B24" s="223" t="s">
        <v>2824</v>
      </c>
      <c r="C24" s="224" t="s">
        <v>2854</v>
      </c>
      <c r="D24" s="278"/>
      <c r="E24" s="280"/>
      <c r="F24" s="36"/>
      <c r="G24" s="36"/>
      <c r="H24" s="36"/>
      <c r="I24" s="36"/>
      <c r="J24" s="36"/>
      <c r="K24" s="36"/>
      <c r="L24" s="36"/>
      <c r="M24" s="36"/>
      <c r="N24" s="36"/>
      <c r="O24" s="36"/>
      <c r="P24" s="36"/>
      <c r="Q24" s="36"/>
      <c r="R24" s="36"/>
      <c r="S24" s="36"/>
      <c r="T24" s="36"/>
      <c r="U24" s="36"/>
      <c r="V24" s="36"/>
    </row>
    <row r="25" spans="1:22" ht="13.5" customHeight="1" x14ac:dyDescent="0.2">
      <c r="A25" s="222"/>
      <c r="B25" s="223" t="s">
        <v>2826</v>
      </c>
      <c r="C25" s="224" t="s">
        <v>2855</v>
      </c>
      <c r="D25" s="278">
        <v>4911.32</v>
      </c>
      <c r="E25" s="280"/>
      <c r="F25" s="36"/>
      <c r="G25" s="36"/>
      <c r="H25" s="36"/>
      <c r="I25" s="36"/>
      <c r="J25" s="36"/>
      <c r="K25" s="36"/>
      <c r="L25" s="36"/>
      <c r="M25" s="36"/>
      <c r="N25" s="36"/>
      <c r="O25" s="36"/>
      <c r="P25" s="36"/>
      <c r="Q25" s="36"/>
      <c r="R25" s="36"/>
      <c r="S25" s="36"/>
      <c r="T25" s="36"/>
      <c r="U25" s="36"/>
      <c r="V25" s="36"/>
    </row>
    <row r="26" spans="1:22" ht="13.5" customHeight="1" x14ac:dyDescent="0.2">
      <c r="A26" s="222"/>
      <c r="B26" s="223" t="s">
        <v>2057</v>
      </c>
      <c r="C26" s="224" t="s">
        <v>2856</v>
      </c>
      <c r="D26" s="278"/>
      <c r="E26" s="280"/>
      <c r="F26" s="36"/>
      <c r="G26" s="36"/>
      <c r="H26" s="36"/>
      <c r="I26" s="36"/>
      <c r="J26" s="36"/>
      <c r="K26" s="36"/>
      <c r="L26" s="36"/>
      <c r="M26" s="36"/>
      <c r="N26" s="36"/>
      <c r="O26" s="36"/>
      <c r="P26" s="36"/>
      <c r="Q26" s="36"/>
      <c r="R26" s="36"/>
      <c r="S26" s="36"/>
      <c r="T26" s="36"/>
      <c r="U26" s="36"/>
      <c r="V26" s="36"/>
    </row>
    <row r="27" spans="1:22" ht="13.5" customHeight="1" x14ac:dyDescent="0.2">
      <c r="A27" s="222"/>
      <c r="B27" s="223" t="s">
        <v>393</v>
      </c>
      <c r="C27" s="224" t="s">
        <v>2857</v>
      </c>
      <c r="D27" s="278"/>
      <c r="E27" s="280"/>
      <c r="F27" s="36"/>
      <c r="G27" s="36"/>
      <c r="H27" s="36"/>
      <c r="I27" s="36"/>
      <c r="J27" s="36"/>
      <c r="K27" s="36"/>
      <c r="L27" s="36"/>
      <c r="M27" s="36"/>
      <c r="N27" s="36"/>
      <c r="O27" s="36"/>
      <c r="P27" s="36"/>
      <c r="Q27" s="36"/>
      <c r="R27" s="36"/>
      <c r="S27" s="36"/>
      <c r="T27" s="36"/>
      <c r="U27" s="36"/>
      <c r="V27" s="36"/>
    </row>
    <row r="28" spans="1:22" ht="13.5" customHeight="1" x14ac:dyDescent="0.2">
      <c r="A28" s="222"/>
      <c r="B28" s="223" t="s">
        <v>2830</v>
      </c>
      <c r="C28" s="224" t="s">
        <v>2858</v>
      </c>
      <c r="D28" s="278"/>
      <c r="E28" s="280"/>
      <c r="F28" s="36"/>
      <c r="G28" s="36"/>
      <c r="H28" s="36"/>
      <c r="I28" s="36"/>
      <c r="J28" s="36"/>
      <c r="K28" s="36"/>
      <c r="L28" s="36"/>
      <c r="M28" s="36"/>
      <c r="N28" s="36"/>
      <c r="O28" s="36"/>
      <c r="P28" s="36"/>
      <c r="Q28" s="36"/>
      <c r="R28" s="36"/>
      <c r="S28" s="36"/>
      <c r="T28" s="36"/>
      <c r="U28" s="36"/>
      <c r="V28" s="36"/>
    </row>
    <row r="29" spans="1:22" ht="13.5" customHeight="1" x14ac:dyDescent="0.2">
      <c r="A29" s="222"/>
      <c r="B29" s="223" t="s">
        <v>2832</v>
      </c>
      <c r="C29" s="224" t="s">
        <v>2859</v>
      </c>
      <c r="D29" s="278"/>
      <c r="E29" s="280"/>
      <c r="F29" s="36"/>
      <c r="G29" s="36"/>
      <c r="H29" s="36"/>
      <c r="I29" s="36"/>
      <c r="J29" s="36"/>
      <c r="K29" s="36"/>
      <c r="L29" s="36"/>
      <c r="M29" s="36"/>
      <c r="N29" s="36"/>
      <c r="O29" s="36"/>
      <c r="P29" s="36"/>
      <c r="Q29" s="36"/>
      <c r="R29" s="36"/>
      <c r="S29" s="36"/>
      <c r="T29" s="36"/>
      <c r="U29" s="36"/>
      <c r="V29" s="36"/>
    </row>
    <row r="30" spans="1:22" ht="13.5" customHeight="1" x14ac:dyDescent="0.2">
      <c r="A30" s="222"/>
      <c r="B30" s="223" t="s">
        <v>2860</v>
      </c>
      <c r="C30" s="224" t="s">
        <v>2861</v>
      </c>
      <c r="D30" s="277">
        <f>SUM(D31:D37)</f>
        <v>0</v>
      </c>
      <c r="E30" s="282">
        <f>SUM(E31:E37)</f>
        <v>0</v>
      </c>
      <c r="F30" s="36"/>
      <c r="G30" s="36"/>
      <c r="H30" s="36"/>
      <c r="I30" s="36"/>
      <c r="J30" s="36"/>
      <c r="K30" s="36"/>
      <c r="L30" s="36"/>
      <c r="M30" s="36"/>
      <c r="N30" s="36"/>
      <c r="O30" s="36"/>
      <c r="P30" s="36"/>
      <c r="Q30" s="36"/>
      <c r="R30" s="36"/>
      <c r="S30" s="36"/>
      <c r="T30" s="36"/>
      <c r="U30" s="36"/>
      <c r="V30" s="36"/>
    </row>
    <row r="31" spans="1:22" ht="13.5" customHeight="1" x14ac:dyDescent="0.2">
      <c r="A31" s="222"/>
      <c r="B31" s="223" t="s">
        <v>2836</v>
      </c>
      <c r="C31" s="224" t="s">
        <v>2862</v>
      </c>
      <c r="D31" s="278"/>
      <c r="E31" s="280"/>
      <c r="F31" s="36"/>
      <c r="G31" s="36"/>
      <c r="H31" s="36"/>
      <c r="I31" s="36"/>
      <c r="J31" s="36"/>
      <c r="K31" s="36"/>
      <c r="L31" s="36"/>
      <c r="M31" s="36"/>
      <c r="N31" s="36"/>
      <c r="O31" s="36"/>
      <c r="P31" s="36"/>
      <c r="Q31" s="36"/>
      <c r="R31" s="36"/>
      <c r="S31" s="36"/>
      <c r="T31" s="36"/>
      <c r="U31" s="36"/>
      <c r="V31" s="36"/>
    </row>
    <row r="32" spans="1:22" ht="24" customHeight="1" x14ac:dyDescent="0.2">
      <c r="A32" s="222"/>
      <c r="B32" s="223" t="s">
        <v>2838</v>
      </c>
      <c r="C32" s="224" t="s">
        <v>2863</v>
      </c>
      <c r="D32" s="278"/>
      <c r="E32" s="280"/>
      <c r="F32" s="36"/>
      <c r="G32" s="36"/>
      <c r="H32" s="36"/>
      <c r="I32" s="36"/>
      <c r="J32" s="36"/>
      <c r="K32" s="36"/>
      <c r="L32" s="36"/>
      <c r="M32" s="36"/>
      <c r="N32" s="36"/>
      <c r="O32" s="36"/>
      <c r="P32" s="36"/>
      <c r="Q32" s="36"/>
      <c r="R32" s="36"/>
      <c r="S32" s="36"/>
      <c r="T32" s="36"/>
      <c r="U32" s="36"/>
      <c r="V32" s="36"/>
    </row>
    <row r="33" spans="1:22" ht="13.5" customHeight="1" x14ac:dyDescent="0.2">
      <c r="A33" s="222"/>
      <c r="B33" s="223" t="s">
        <v>2840</v>
      </c>
      <c r="C33" s="224" t="s">
        <v>2864</v>
      </c>
      <c r="D33" s="278"/>
      <c r="E33" s="280"/>
      <c r="F33" s="36"/>
      <c r="G33" s="36"/>
      <c r="H33" s="36"/>
      <c r="I33" s="36"/>
      <c r="J33" s="36"/>
      <c r="K33" s="36"/>
      <c r="L33" s="36"/>
      <c r="M33" s="36"/>
      <c r="N33" s="36"/>
      <c r="O33" s="36"/>
      <c r="P33" s="36"/>
      <c r="Q33" s="36"/>
      <c r="R33" s="36"/>
      <c r="S33" s="36"/>
      <c r="T33" s="36"/>
      <c r="U33" s="36"/>
      <c r="V33" s="36"/>
    </row>
    <row r="34" spans="1:22" ht="13.5" customHeight="1" x14ac:dyDescent="0.2">
      <c r="A34" s="222"/>
      <c r="B34" s="223" t="s">
        <v>2842</v>
      </c>
      <c r="C34" s="224" t="s">
        <v>2865</v>
      </c>
      <c r="D34" s="278"/>
      <c r="E34" s="280"/>
      <c r="F34" s="36"/>
      <c r="G34" s="36"/>
      <c r="H34" s="36"/>
      <c r="I34" s="36"/>
      <c r="J34" s="36"/>
      <c r="K34" s="36"/>
      <c r="L34" s="36"/>
      <c r="M34" s="36"/>
      <c r="N34" s="36"/>
      <c r="O34" s="36"/>
      <c r="P34" s="36"/>
      <c r="Q34" s="36"/>
      <c r="R34" s="36"/>
      <c r="S34" s="36"/>
      <c r="T34" s="36"/>
      <c r="U34" s="36"/>
      <c r="V34" s="36"/>
    </row>
    <row r="35" spans="1:22" ht="13.5" customHeight="1" x14ac:dyDescent="0.2">
      <c r="A35" s="222"/>
      <c r="B35" s="223" t="s">
        <v>2844</v>
      </c>
      <c r="C35" s="224" t="s">
        <v>2866</v>
      </c>
      <c r="D35" s="278"/>
      <c r="E35" s="280"/>
      <c r="F35" s="36"/>
      <c r="G35" s="36"/>
      <c r="H35" s="36"/>
      <c r="I35" s="36"/>
      <c r="J35" s="36"/>
      <c r="K35" s="36"/>
      <c r="L35" s="36"/>
      <c r="M35" s="36"/>
      <c r="N35" s="36"/>
      <c r="O35" s="36"/>
      <c r="P35" s="36"/>
      <c r="Q35" s="36"/>
      <c r="R35" s="36"/>
      <c r="S35" s="36"/>
      <c r="T35" s="36"/>
      <c r="U35" s="36"/>
      <c r="V35" s="36"/>
    </row>
    <row r="36" spans="1:22" ht="13.5" customHeight="1" x14ac:dyDescent="0.2">
      <c r="A36" s="222"/>
      <c r="B36" s="223" t="s">
        <v>2846</v>
      </c>
      <c r="C36" s="224" t="s">
        <v>2867</v>
      </c>
      <c r="D36" s="278"/>
      <c r="E36" s="280"/>
      <c r="F36" s="36"/>
      <c r="G36" s="36"/>
      <c r="H36" s="36"/>
      <c r="I36" s="36"/>
      <c r="J36" s="36"/>
      <c r="K36" s="36"/>
      <c r="L36" s="36"/>
      <c r="M36" s="36"/>
      <c r="N36" s="36"/>
      <c r="O36" s="36"/>
      <c r="P36" s="36"/>
      <c r="Q36" s="36"/>
      <c r="R36" s="36"/>
      <c r="S36" s="36"/>
      <c r="T36" s="36"/>
      <c r="U36" s="36"/>
      <c r="V36" s="36"/>
    </row>
    <row r="37" spans="1:22" ht="13.5" customHeight="1" x14ac:dyDescent="0.2">
      <c r="A37" s="222"/>
      <c r="B37" s="223" t="s">
        <v>2848</v>
      </c>
      <c r="C37" s="224" t="s">
        <v>2868</v>
      </c>
      <c r="D37" s="278"/>
      <c r="E37" s="280"/>
      <c r="F37" s="36"/>
      <c r="G37" s="36"/>
      <c r="H37" s="36"/>
      <c r="I37" s="36"/>
      <c r="J37" s="36"/>
      <c r="K37" s="36"/>
      <c r="L37" s="36"/>
      <c r="M37" s="36"/>
      <c r="N37" s="36"/>
      <c r="O37" s="36"/>
      <c r="P37" s="36"/>
      <c r="Q37" s="36"/>
      <c r="R37" s="36"/>
      <c r="S37" s="36"/>
      <c r="T37" s="36"/>
      <c r="U37" s="36"/>
      <c r="V37" s="36"/>
    </row>
    <row r="38" spans="1:22" ht="13.5" customHeight="1" x14ac:dyDescent="0.2">
      <c r="A38" s="222" t="s">
        <v>2869</v>
      </c>
      <c r="B38" s="223" t="s">
        <v>2870</v>
      </c>
      <c r="C38" s="224" t="s">
        <v>2869</v>
      </c>
      <c r="D38" s="277">
        <f>D39+D44</f>
        <v>0</v>
      </c>
      <c r="E38" s="282">
        <f>E39+E44</f>
        <v>0</v>
      </c>
      <c r="F38" s="36"/>
      <c r="G38" s="36"/>
      <c r="H38" s="36"/>
      <c r="I38" s="36"/>
      <c r="J38" s="36"/>
      <c r="K38" s="36"/>
      <c r="L38" s="36"/>
      <c r="M38" s="36"/>
      <c r="N38" s="36"/>
      <c r="O38" s="36"/>
      <c r="P38" s="36"/>
      <c r="Q38" s="36"/>
      <c r="R38" s="36"/>
      <c r="S38" s="36"/>
      <c r="T38" s="36"/>
      <c r="U38" s="36"/>
      <c r="V38" s="36"/>
    </row>
    <row r="39" spans="1:22" ht="13.5" customHeight="1" x14ac:dyDescent="0.2">
      <c r="A39" s="222" t="s">
        <v>2871</v>
      </c>
      <c r="B39" s="223" t="s">
        <v>2872</v>
      </c>
      <c r="C39" s="224" t="s">
        <v>2871</v>
      </c>
      <c r="D39" s="277">
        <f>SUM(D40:D43)</f>
        <v>0</v>
      </c>
      <c r="E39" s="282">
        <f>SUM(E40:E43)</f>
        <v>0</v>
      </c>
      <c r="F39" s="36"/>
      <c r="G39" s="36"/>
      <c r="H39" s="36"/>
      <c r="I39" s="36"/>
      <c r="J39" s="36"/>
      <c r="K39" s="36"/>
      <c r="L39" s="36"/>
      <c r="M39" s="36"/>
      <c r="N39" s="36"/>
      <c r="O39" s="36"/>
      <c r="P39" s="36"/>
      <c r="Q39" s="36"/>
      <c r="R39" s="36"/>
      <c r="S39" s="36"/>
      <c r="T39" s="36"/>
      <c r="U39" s="36"/>
      <c r="V39" s="36"/>
    </row>
    <row r="40" spans="1:22" ht="13.5" customHeight="1" x14ac:dyDescent="0.2">
      <c r="A40" s="222"/>
      <c r="B40" s="223" t="s">
        <v>2873</v>
      </c>
      <c r="C40" s="224" t="s">
        <v>2874</v>
      </c>
      <c r="D40" s="278"/>
      <c r="E40" s="280"/>
      <c r="F40" s="36"/>
      <c r="G40" s="36"/>
      <c r="H40" s="36"/>
      <c r="I40" s="36"/>
      <c r="J40" s="36"/>
      <c r="K40" s="36"/>
      <c r="L40" s="36"/>
      <c r="M40" s="36"/>
      <c r="N40" s="36"/>
      <c r="O40" s="36"/>
      <c r="P40" s="36"/>
      <c r="Q40" s="36"/>
      <c r="R40" s="36"/>
      <c r="S40" s="36"/>
      <c r="T40" s="36"/>
      <c r="U40" s="36"/>
      <c r="V40" s="36"/>
    </row>
    <row r="41" spans="1:22" ht="13.5" customHeight="1" x14ac:dyDescent="0.2">
      <c r="A41" s="222"/>
      <c r="B41" s="223" t="s">
        <v>2316</v>
      </c>
      <c r="C41" s="224" t="s">
        <v>2875</v>
      </c>
      <c r="D41" s="278"/>
      <c r="E41" s="280"/>
      <c r="F41" s="36"/>
      <c r="G41" s="36"/>
      <c r="H41" s="36"/>
      <c r="I41" s="36"/>
      <c r="J41" s="36"/>
      <c r="K41" s="36"/>
      <c r="L41" s="36"/>
      <c r="M41" s="36"/>
      <c r="N41" s="36"/>
      <c r="O41" s="36"/>
      <c r="P41" s="36"/>
      <c r="Q41" s="36"/>
      <c r="R41" s="36"/>
      <c r="S41" s="36"/>
      <c r="T41" s="36"/>
      <c r="U41" s="36"/>
      <c r="V41" s="36"/>
    </row>
    <row r="42" spans="1:22" ht="13.5" customHeight="1" x14ac:dyDescent="0.2">
      <c r="A42" s="222"/>
      <c r="B42" s="223" t="s">
        <v>2876</v>
      </c>
      <c r="C42" s="224" t="s">
        <v>2877</v>
      </c>
      <c r="D42" s="278"/>
      <c r="E42" s="280"/>
      <c r="F42" s="36"/>
      <c r="G42" s="36"/>
      <c r="H42" s="36"/>
      <c r="I42" s="36"/>
      <c r="J42" s="36"/>
      <c r="K42" s="36"/>
      <c r="L42" s="36"/>
      <c r="M42" s="36"/>
      <c r="N42" s="36"/>
      <c r="O42" s="36"/>
      <c r="P42" s="36"/>
      <c r="Q42" s="36"/>
      <c r="R42" s="36"/>
      <c r="S42" s="36"/>
      <c r="T42" s="36"/>
      <c r="U42" s="36"/>
      <c r="V42" s="36"/>
    </row>
    <row r="43" spans="1:22" ht="13.5" customHeight="1" x14ac:dyDescent="0.2">
      <c r="A43" s="222"/>
      <c r="B43" s="223" t="s">
        <v>2878</v>
      </c>
      <c r="C43" s="224" t="s">
        <v>2879</v>
      </c>
      <c r="D43" s="278"/>
      <c r="E43" s="280"/>
      <c r="F43" s="36"/>
      <c r="G43" s="36"/>
      <c r="H43" s="36"/>
      <c r="I43" s="36"/>
      <c r="J43" s="36"/>
      <c r="K43" s="36"/>
      <c r="L43" s="36"/>
      <c r="M43" s="36"/>
      <c r="N43" s="36"/>
      <c r="O43" s="36"/>
      <c r="P43" s="36"/>
      <c r="Q43" s="36"/>
      <c r="R43" s="36"/>
      <c r="S43" s="36"/>
      <c r="T43" s="36"/>
      <c r="U43" s="36"/>
      <c r="V43" s="36"/>
    </row>
    <row r="44" spans="1:22" ht="13.5" customHeight="1" x14ac:dyDescent="0.2">
      <c r="A44" s="222" t="s">
        <v>2880</v>
      </c>
      <c r="B44" s="223" t="s">
        <v>2881</v>
      </c>
      <c r="C44" s="224" t="s">
        <v>2880</v>
      </c>
      <c r="D44" s="277">
        <f>SUM(D45:D48)</f>
        <v>0</v>
      </c>
      <c r="E44" s="282">
        <f>SUM(E45:E48)</f>
        <v>0</v>
      </c>
      <c r="F44" s="36"/>
      <c r="G44" s="36"/>
      <c r="H44" s="36"/>
      <c r="I44" s="36"/>
      <c r="J44" s="36"/>
      <c r="K44" s="36"/>
      <c r="L44" s="36"/>
      <c r="M44" s="36"/>
      <c r="N44" s="36"/>
      <c r="O44" s="36"/>
      <c r="P44" s="36"/>
      <c r="Q44" s="36"/>
      <c r="R44" s="36"/>
      <c r="S44" s="36"/>
      <c r="T44" s="36"/>
      <c r="U44" s="36"/>
      <c r="V44" s="36"/>
    </row>
    <row r="45" spans="1:22" ht="13.5" customHeight="1" x14ac:dyDescent="0.2">
      <c r="A45" s="222"/>
      <c r="B45" s="223" t="s">
        <v>2873</v>
      </c>
      <c r="C45" s="224" t="s">
        <v>2882</v>
      </c>
      <c r="D45" s="278"/>
      <c r="E45" s="280"/>
      <c r="F45" s="36"/>
      <c r="G45" s="36"/>
      <c r="H45" s="36"/>
      <c r="I45" s="36"/>
      <c r="J45" s="36"/>
      <c r="K45" s="36"/>
      <c r="L45" s="36"/>
      <c r="M45" s="36"/>
      <c r="N45" s="36"/>
      <c r="O45" s="36"/>
      <c r="P45" s="36"/>
      <c r="Q45" s="36"/>
      <c r="R45" s="36"/>
      <c r="S45" s="36"/>
      <c r="T45" s="36"/>
      <c r="U45" s="36"/>
      <c r="V45" s="36"/>
    </row>
    <row r="46" spans="1:22" ht="13.5" customHeight="1" x14ac:dyDescent="0.2">
      <c r="A46" s="222"/>
      <c r="B46" s="223" t="s">
        <v>2316</v>
      </c>
      <c r="C46" s="224" t="s">
        <v>2883</v>
      </c>
      <c r="D46" s="278"/>
      <c r="E46" s="280"/>
      <c r="F46" s="36"/>
      <c r="G46" s="36"/>
      <c r="H46" s="36"/>
      <c r="I46" s="36"/>
      <c r="J46" s="36"/>
      <c r="K46" s="36"/>
      <c r="L46" s="36"/>
      <c r="M46" s="36"/>
      <c r="N46" s="36"/>
      <c r="O46" s="36"/>
      <c r="P46" s="36"/>
      <c r="Q46" s="36"/>
      <c r="R46" s="36"/>
      <c r="S46" s="36"/>
      <c r="T46" s="36"/>
      <c r="U46" s="36"/>
      <c r="V46" s="36"/>
    </row>
    <row r="47" spans="1:22" ht="13.5" customHeight="1" x14ac:dyDescent="0.2">
      <c r="A47" s="222"/>
      <c r="B47" s="223" t="s">
        <v>2876</v>
      </c>
      <c r="C47" s="224" t="s">
        <v>2884</v>
      </c>
      <c r="D47" s="278"/>
      <c r="E47" s="280"/>
      <c r="F47" s="36"/>
      <c r="G47" s="36"/>
      <c r="H47" s="36"/>
      <c r="I47" s="36"/>
      <c r="J47" s="36"/>
      <c r="K47" s="36"/>
      <c r="L47" s="36"/>
      <c r="M47" s="36"/>
      <c r="N47" s="36"/>
      <c r="O47" s="36"/>
      <c r="P47" s="36"/>
      <c r="Q47" s="36"/>
      <c r="R47" s="36"/>
      <c r="S47" s="36"/>
      <c r="T47" s="36"/>
      <c r="U47" s="36"/>
      <c r="V47" s="36"/>
    </row>
    <row r="48" spans="1:22" ht="13.5" customHeight="1" x14ac:dyDescent="0.2">
      <c r="A48" s="69"/>
      <c r="B48" s="225" t="s">
        <v>2878</v>
      </c>
      <c r="C48" s="226" t="s">
        <v>2885</v>
      </c>
      <c r="D48" s="283"/>
      <c r="E48" s="284"/>
      <c r="F48" s="36"/>
      <c r="G48" s="36"/>
      <c r="H48" s="36"/>
      <c r="I48" s="36"/>
      <c r="J48" s="36"/>
      <c r="K48" s="36"/>
      <c r="L48" s="36"/>
      <c r="M48" s="36"/>
      <c r="N48" s="36"/>
      <c r="O48" s="36"/>
      <c r="P48" s="36"/>
      <c r="Q48" s="36"/>
      <c r="R48" s="36"/>
      <c r="S48" s="36"/>
      <c r="T48" s="36"/>
      <c r="U48" s="36"/>
      <c r="V48" s="36"/>
    </row>
    <row r="49" spans="1:22" ht="12" customHeight="1" x14ac:dyDescent="0.2">
      <c r="A49" s="105"/>
      <c r="B49" s="100"/>
      <c r="C49" s="95"/>
      <c r="D49" s="36"/>
      <c r="E49" s="36"/>
      <c r="F49" s="36"/>
      <c r="G49" s="36"/>
      <c r="H49" s="36"/>
      <c r="I49" s="36"/>
      <c r="J49" s="36"/>
      <c r="K49" s="36"/>
      <c r="L49" s="36"/>
      <c r="M49" s="36"/>
      <c r="N49" s="36"/>
      <c r="O49" s="36"/>
      <c r="P49" s="36"/>
      <c r="Q49" s="36"/>
      <c r="R49" s="36"/>
      <c r="S49" s="36"/>
      <c r="T49" s="36"/>
      <c r="U49" s="36"/>
      <c r="V49" s="36"/>
    </row>
    <row r="50" spans="1:22" ht="12" customHeight="1" x14ac:dyDescent="0.2">
      <c r="A50" s="105"/>
      <c r="B50" s="100"/>
      <c r="C50" s="95"/>
      <c r="D50" s="36"/>
      <c r="E50" s="36"/>
      <c r="F50" s="36"/>
      <c r="G50" s="36"/>
      <c r="H50" s="36"/>
      <c r="I50" s="36"/>
      <c r="J50" s="36"/>
      <c r="K50" s="36"/>
      <c r="L50" s="36"/>
      <c r="M50" s="36"/>
      <c r="N50" s="36"/>
      <c r="O50" s="36"/>
      <c r="P50" s="36"/>
      <c r="Q50" s="36"/>
      <c r="R50" s="36"/>
      <c r="S50" s="36"/>
      <c r="T50" s="36"/>
      <c r="U50" s="36"/>
      <c r="V50" s="36"/>
    </row>
    <row r="51" spans="1:22" ht="12" customHeight="1" x14ac:dyDescent="0.2">
      <c r="A51" s="104"/>
      <c r="B51" s="101"/>
      <c r="C51" s="96"/>
      <c r="D51" s="321"/>
      <c r="E51" s="340"/>
      <c r="F51" s="38"/>
      <c r="G51" s="38"/>
      <c r="H51" s="38"/>
      <c r="I51" s="38"/>
      <c r="J51" s="38"/>
      <c r="K51" s="38"/>
      <c r="L51" s="38"/>
      <c r="M51" s="38"/>
      <c r="N51" s="38"/>
      <c r="O51" s="38"/>
      <c r="P51" s="38"/>
      <c r="Q51" s="38"/>
      <c r="R51" s="38"/>
      <c r="S51" s="38"/>
      <c r="T51" s="38"/>
      <c r="U51" s="38"/>
      <c r="V51" s="38"/>
    </row>
    <row r="52" spans="1:22" ht="12" customHeight="1" x14ac:dyDescent="0.2">
      <c r="A52" s="104"/>
      <c r="B52" s="101"/>
      <c r="C52" s="96"/>
      <c r="D52" s="38"/>
      <c r="E52" s="38"/>
      <c r="F52" s="38"/>
      <c r="G52" s="38"/>
      <c r="H52" s="38"/>
      <c r="I52" s="38"/>
      <c r="J52" s="38"/>
      <c r="K52" s="38"/>
      <c r="L52" s="38"/>
      <c r="M52" s="38"/>
      <c r="N52" s="38"/>
      <c r="O52" s="38"/>
      <c r="P52" s="38"/>
      <c r="Q52" s="38"/>
      <c r="R52" s="38"/>
      <c r="S52" s="38"/>
      <c r="T52" s="38"/>
      <c r="U52" s="38"/>
      <c r="V52" s="38"/>
    </row>
    <row r="53" spans="1:22" ht="12" customHeight="1" x14ac:dyDescent="0.2">
      <c r="A53" s="104"/>
      <c r="B53" s="101"/>
      <c r="C53" s="96"/>
      <c r="D53" s="38"/>
      <c r="E53" s="38"/>
      <c r="F53" s="38"/>
      <c r="G53" s="38"/>
      <c r="H53" s="38"/>
      <c r="I53" s="38"/>
      <c r="J53" s="38"/>
      <c r="K53" s="38"/>
      <c r="L53" s="38"/>
      <c r="M53" s="38"/>
      <c r="N53" s="38"/>
      <c r="O53" s="38"/>
      <c r="P53" s="38"/>
      <c r="Q53" s="38"/>
      <c r="R53" s="38"/>
      <c r="S53" s="38"/>
      <c r="T53" s="38"/>
      <c r="U53" s="38"/>
      <c r="V53" s="38"/>
    </row>
    <row r="54" spans="1:22" ht="12" customHeight="1" x14ac:dyDescent="0.2">
      <c r="A54" s="104"/>
      <c r="B54" s="101"/>
      <c r="C54" s="96"/>
      <c r="D54" s="38"/>
      <c r="E54" s="38"/>
      <c r="F54" s="38"/>
      <c r="G54" s="38"/>
      <c r="H54" s="38"/>
      <c r="I54" s="38"/>
      <c r="J54" s="38"/>
      <c r="K54" s="38"/>
      <c r="L54" s="38"/>
      <c r="M54" s="38"/>
      <c r="N54" s="38"/>
      <c r="O54" s="38"/>
      <c r="P54" s="38"/>
      <c r="Q54" s="38"/>
      <c r="R54" s="38"/>
      <c r="S54" s="38"/>
      <c r="T54" s="38"/>
      <c r="U54" s="38"/>
      <c r="V54" s="38"/>
    </row>
    <row r="55" spans="1:22" ht="12" customHeight="1" x14ac:dyDescent="0.2">
      <c r="A55" s="105"/>
      <c r="B55" s="100"/>
      <c r="C55" s="95"/>
      <c r="D55" s="36"/>
      <c r="E55" s="36"/>
      <c r="F55" s="36"/>
      <c r="G55" s="36"/>
      <c r="H55" s="36"/>
      <c r="I55" s="36"/>
      <c r="J55" s="36"/>
      <c r="K55" s="36"/>
      <c r="L55" s="36"/>
      <c r="M55" s="36"/>
      <c r="N55" s="36"/>
      <c r="O55" s="36"/>
      <c r="P55" s="36"/>
      <c r="Q55" s="36"/>
      <c r="R55" s="36"/>
      <c r="S55" s="36"/>
      <c r="T55" s="36"/>
      <c r="U55" s="36"/>
      <c r="V55" s="36"/>
    </row>
    <row r="56" spans="1:22" ht="12" customHeight="1" x14ac:dyDescent="0.2">
      <c r="A56" s="105"/>
      <c r="B56" s="100"/>
      <c r="C56" s="95"/>
      <c r="D56" s="36"/>
      <c r="E56" s="36"/>
      <c r="F56" s="36"/>
      <c r="G56" s="36"/>
      <c r="H56" s="36"/>
      <c r="I56" s="36"/>
      <c r="J56" s="36"/>
      <c r="K56" s="36"/>
      <c r="L56" s="36"/>
      <c r="M56" s="36"/>
      <c r="N56" s="36"/>
      <c r="O56" s="36"/>
      <c r="P56" s="36"/>
      <c r="Q56" s="36"/>
      <c r="R56" s="36"/>
      <c r="S56" s="36"/>
      <c r="T56" s="36"/>
      <c r="U56" s="36"/>
      <c r="V56" s="36"/>
    </row>
    <row r="57" spans="1:22" ht="12" customHeight="1" x14ac:dyDescent="0.2">
      <c r="A57" s="105"/>
      <c r="B57" s="100"/>
      <c r="C57" s="95"/>
      <c r="D57" s="36"/>
      <c r="E57" s="36"/>
      <c r="F57" s="36"/>
      <c r="G57" s="36"/>
      <c r="H57" s="36"/>
      <c r="I57" s="36"/>
      <c r="J57" s="36"/>
      <c r="K57" s="36"/>
      <c r="L57" s="36"/>
      <c r="M57" s="36"/>
      <c r="N57" s="36"/>
      <c r="O57" s="36"/>
      <c r="P57" s="36"/>
      <c r="Q57" s="36"/>
      <c r="R57" s="36"/>
      <c r="S57" s="36"/>
      <c r="T57" s="36"/>
      <c r="U57" s="36"/>
      <c r="V57" s="36"/>
    </row>
    <row r="58" spans="1:22" ht="12" customHeight="1" x14ac:dyDescent="0.2">
      <c r="A58" s="105"/>
      <c r="B58" s="100"/>
      <c r="C58" s="95"/>
      <c r="D58" s="36"/>
      <c r="E58" s="36"/>
      <c r="F58" s="36"/>
      <c r="G58" s="36"/>
      <c r="H58" s="36"/>
      <c r="I58" s="36"/>
      <c r="J58" s="36"/>
      <c r="K58" s="36"/>
      <c r="L58" s="36"/>
      <c r="M58" s="36"/>
      <c r="N58" s="36"/>
      <c r="O58" s="36"/>
      <c r="P58" s="36"/>
      <c r="Q58" s="36"/>
      <c r="R58" s="36"/>
      <c r="S58" s="36"/>
      <c r="T58" s="36"/>
      <c r="U58" s="36"/>
      <c r="V58" s="36"/>
    </row>
    <row r="59" spans="1:22" ht="12" customHeight="1" x14ac:dyDescent="0.2">
      <c r="A59" s="105"/>
      <c r="B59" s="100"/>
      <c r="C59" s="95"/>
      <c r="D59" s="36"/>
      <c r="E59" s="36"/>
      <c r="F59" s="36"/>
      <c r="G59" s="36"/>
      <c r="H59" s="36"/>
      <c r="I59" s="36"/>
      <c r="J59" s="36"/>
      <c r="K59" s="36"/>
      <c r="L59" s="36"/>
      <c r="M59" s="36"/>
      <c r="N59" s="36"/>
      <c r="O59" s="36"/>
      <c r="P59" s="36"/>
      <c r="Q59" s="36"/>
      <c r="R59" s="36"/>
      <c r="S59" s="36"/>
      <c r="T59" s="36"/>
      <c r="U59" s="36"/>
      <c r="V59" s="36"/>
    </row>
    <row r="60" spans="1:22" ht="12" customHeight="1" x14ac:dyDescent="0.2">
      <c r="A60" s="105"/>
      <c r="B60" s="100"/>
      <c r="C60" s="95"/>
      <c r="D60" s="36"/>
      <c r="E60" s="36"/>
      <c r="F60" s="36"/>
      <c r="G60" s="36"/>
      <c r="H60" s="36"/>
      <c r="I60" s="36"/>
      <c r="J60" s="36"/>
      <c r="K60" s="36"/>
      <c r="L60" s="36"/>
      <c r="M60" s="36"/>
      <c r="N60" s="36"/>
      <c r="O60" s="36"/>
      <c r="P60" s="36"/>
      <c r="Q60" s="36"/>
      <c r="R60" s="36"/>
      <c r="S60" s="36"/>
      <c r="T60" s="36"/>
      <c r="U60" s="36"/>
      <c r="V60" s="36"/>
    </row>
    <row r="61" spans="1:22" ht="12" customHeight="1" x14ac:dyDescent="0.2">
      <c r="A61" s="105"/>
      <c r="B61" s="100"/>
      <c r="C61" s="95"/>
      <c r="D61" s="36"/>
      <c r="E61" s="36"/>
      <c r="F61" s="36"/>
      <c r="G61" s="36"/>
      <c r="H61" s="36"/>
      <c r="I61" s="36"/>
      <c r="J61" s="36"/>
      <c r="K61" s="36"/>
      <c r="L61" s="36"/>
      <c r="M61" s="36"/>
      <c r="N61" s="36"/>
      <c r="O61" s="36"/>
      <c r="P61" s="36"/>
      <c r="Q61" s="36"/>
      <c r="R61" s="36"/>
      <c r="S61" s="36"/>
      <c r="T61" s="36"/>
      <c r="U61" s="36"/>
      <c r="V61" s="36"/>
    </row>
    <row r="62" spans="1:22" ht="12" customHeight="1" x14ac:dyDescent="0.2">
      <c r="A62" s="105"/>
      <c r="B62" s="100"/>
      <c r="C62" s="95"/>
      <c r="D62" s="36"/>
      <c r="E62" s="36"/>
      <c r="F62" s="36"/>
      <c r="G62" s="36"/>
      <c r="H62" s="36"/>
      <c r="I62" s="36"/>
      <c r="J62" s="36"/>
      <c r="K62" s="36"/>
      <c r="L62" s="36"/>
      <c r="M62" s="36"/>
      <c r="N62" s="36"/>
      <c r="O62" s="36"/>
      <c r="P62" s="36"/>
      <c r="Q62" s="36"/>
      <c r="R62" s="36"/>
      <c r="S62" s="36"/>
      <c r="T62" s="36"/>
      <c r="U62" s="36"/>
      <c r="V62" s="36"/>
    </row>
    <row r="63" spans="1:22" ht="12" customHeight="1" x14ac:dyDescent="0.2">
      <c r="A63" s="105"/>
      <c r="B63" s="100"/>
      <c r="C63" s="95"/>
      <c r="D63" s="36"/>
      <c r="E63" s="36"/>
      <c r="F63" s="36"/>
      <c r="G63" s="36"/>
      <c r="H63" s="36"/>
      <c r="I63" s="36"/>
      <c r="J63" s="36"/>
      <c r="K63" s="36"/>
      <c r="L63" s="36"/>
      <c r="M63" s="36"/>
      <c r="N63" s="36"/>
      <c r="O63" s="36"/>
      <c r="P63" s="36"/>
      <c r="Q63" s="36"/>
      <c r="R63" s="36"/>
      <c r="S63" s="36"/>
      <c r="T63" s="36"/>
      <c r="U63" s="36"/>
      <c r="V63" s="36"/>
    </row>
    <row r="64" spans="1:22" ht="12" customHeight="1" x14ac:dyDescent="0.2">
      <c r="A64" s="105"/>
      <c r="B64" s="100"/>
      <c r="C64" s="95"/>
      <c r="D64" s="36"/>
      <c r="E64" s="36"/>
      <c r="F64" s="36"/>
      <c r="G64" s="36"/>
      <c r="H64" s="36"/>
      <c r="I64" s="36"/>
      <c r="J64" s="36"/>
      <c r="K64" s="36"/>
      <c r="L64" s="36"/>
      <c r="M64" s="36"/>
      <c r="N64" s="36"/>
      <c r="O64" s="36"/>
      <c r="P64" s="36"/>
      <c r="Q64" s="36"/>
      <c r="R64" s="36"/>
      <c r="S64" s="36"/>
      <c r="T64" s="36"/>
      <c r="U64" s="36"/>
      <c r="V64" s="36"/>
    </row>
    <row r="65" spans="1:22" ht="12" customHeight="1" x14ac:dyDescent="0.2">
      <c r="A65" s="105"/>
      <c r="B65" s="100"/>
      <c r="C65" s="95"/>
      <c r="D65" s="36"/>
      <c r="E65" s="36"/>
      <c r="F65" s="36"/>
      <c r="G65" s="36"/>
      <c r="H65" s="36"/>
      <c r="I65" s="36"/>
      <c r="J65" s="36"/>
      <c r="K65" s="36"/>
      <c r="L65" s="36"/>
      <c r="M65" s="36"/>
      <c r="N65" s="36"/>
      <c r="O65" s="36"/>
      <c r="P65" s="36"/>
      <c r="Q65" s="36"/>
      <c r="R65" s="36"/>
      <c r="S65" s="36"/>
      <c r="T65" s="36"/>
      <c r="U65" s="36"/>
      <c r="V65" s="36"/>
    </row>
    <row r="66" spans="1:22" ht="12" customHeight="1" x14ac:dyDescent="0.2">
      <c r="A66" s="105"/>
      <c r="B66" s="100"/>
      <c r="C66" s="95"/>
      <c r="D66" s="36"/>
      <c r="E66" s="36"/>
      <c r="F66" s="36"/>
      <c r="G66" s="36"/>
      <c r="H66" s="36"/>
      <c r="I66" s="36"/>
      <c r="J66" s="36"/>
      <c r="K66" s="36"/>
      <c r="L66" s="36"/>
      <c r="M66" s="36"/>
      <c r="N66" s="36"/>
      <c r="O66" s="36"/>
      <c r="P66" s="36"/>
      <c r="Q66" s="36"/>
      <c r="R66" s="36"/>
      <c r="S66" s="36"/>
      <c r="T66" s="36"/>
      <c r="U66" s="36"/>
      <c r="V66" s="36"/>
    </row>
    <row r="67" spans="1:22" ht="12" customHeight="1" x14ac:dyDescent="0.2">
      <c r="A67" s="105"/>
      <c r="B67" s="100"/>
      <c r="C67" s="95"/>
      <c r="D67" s="36"/>
      <c r="E67" s="36"/>
      <c r="F67" s="36"/>
      <c r="G67" s="36"/>
      <c r="H67" s="36"/>
      <c r="I67" s="36"/>
      <c r="J67" s="36"/>
      <c r="K67" s="36"/>
      <c r="L67" s="36"/>
      <c r="M67" s="36"/>
      <c r="N67" s="36"/>
      <c r="O67" s="36"/>
      <c r="P67" s="36"/>
      <c r="Q67" s="36"/>
      <c r="R67" s="36"/>
      <c r="S67" s="36"/>
      <c r="T67" s="36"/>
      <c r="U67" s="36"/>
      <c r="V67" s="36"/>
    </row>
    <row r="68" spans="1:22" ht="12" customHeight="1" x14ac:dyDescent="0.2">
      <c r="A68" s="105"/>
      <c r="B68" s="100"/>
      <c r="C68" s="95"/>
      <c r="D68" s="36"/>
      <c r="E68" s="36"/>
      <c r="F68" s="36"/>
      <c r="G68" s="36"/>
      <c r="H68" s="36"/>
      <c r="I68" s="36"/>
      <c r="J68" s="36"/>
      <c r="K68" s="36"/>
      <c r="L68" s="36"/>
      <c r="M68" s="36"/>
      <c r="N68" s="36"/>
      <c r="O68" s="36"/>
      <c r="P68" s="36"/>
      <c r="Q68" s="36"/>
      <c r="R68" s="36"/>
      <c r="S68" s="36"/>
      <c r="T68" s="36"/>
      <c r="U68" s="36"/>
      <c r="V68" s="36"/>
    </row>
    <row r="69" spans="1:22" ht="12" customHeight="1" x14ac:dyDescent="0.2">
      <c r="A69" s="105"/>
      <c r="B69" s="100"/>
      <c r="C69" s="95"/>
      <c r="D69" s="36"/>
      <c r="E69" s="36"/>
      <c r="F69" s="36"/>
      <c r="G69" s="36"/>
      <c r="H69" s="36"/>
      <c r="I69" s="36"/>
      <c r="J69" s="36"/>
      <c r="K69" s="36"/>
      <c r="L69" s="36"/>
      <c r="M69" s="36"/>
      <c r="N69" s="36"/>
      <c r="O69" s="36"/>
      <c r="P69" s="36"/>
      <c r="Q69" s="36"/>
      <c r="R69" s="36"/>
      <c r="S69" s="36"/>
      <c r="T69" s="36"/>
      <c r="U69" s="36"/>
      <c r="V69" s="36"/>
    </row>
    <row r="70" spans="1:22" ht="12" customHeight="1" x14ac:dyDescent="0.2">
      <c r="A70" s="105"/>
      <c r="B70" s="100"/>
      <c r="C70" s="95"/>
      <c r="D70" s="36"/>
      <c r="E70" s="36"/>
      <c r="F70" s="36"/>
      <c r="G70" s="36"/>
      <c r="H70" s="36"/>
      <c r="I70" s="36"/>
      <c r="J70" s="36"/>
      <c r="K70" s="36"/>
      <c r="L70" s="36"/>
      <c r="M70" s="36"/>
      <c r="N70" s="36"/>
      <c r="O70" s="36"/>
      <c r="P70" s="36"/>
      <c r="Q70" s="36"/>
      <c r="R70" s="36"/>
      <c r="S70" s="36"/>
      <c r="T70" s="36"/>
      <c r="U70" s="36"/>
      <c r="V70" s="36"/>
    </row>
    <row r="71" spans="1:22" ht="12" customHeight="1" x14ac:dyDescent="0.2">
      <c r="A71" s="105"/>
      <c r="B71" s="100"/>
      <c r="C71" s="95"/>
      <c r="D71" s="36"/>
      <c r="E71" s="36"/>
      <c r="F71" s="36"/>
      <c r="G71" s="36"/>
      <c r="H71" s="36"/>
      <c r="I71" s="36"/>
      <c r="J71" s="36"/>
      <c r="K71" s="36"/>
      <c r="L71" s="36"/>
      <c r="M71" s="36"/>
      <c r="N71" s="36"/>
      <c r="O71" s="36"/>
      <c r="P71" s="36"/>
      <c r="Q71" s="36"/>
      <c r="R71" s="36"/>
      <c r="S71" s="36"/>
      <c r="T71" s="36"/>
      <c r="U71" s="36"/>
      <c r="V71" s="36"/>
    </row>
    <row r="72" spans="1:22" ht="12" customHeight="1" x14ac:dyDescent="0.2">
      <c r="A72" s="105"/>
      <c r="B72" s="100"/>
      <c r="C72" s="95"/>
      <c r="D72" s="36"/>
      <c r="E72" s="36"/>
      <c r="F72" s="36"/>
      <c r="G72" s="36"/>
      <c r="H72" s="36"/>
      <c r="I72" s="36"/>
      <c r="J72" s="36"/>
      <c r="K72" s="36"/>
      <c r="L72" s="36"/>
      <c r="M72" s="36"/>
      <c r="N72" s="36"/>
      <c r="O72" s="36"/>
      <c r="P72" s="36"/>
      <c r="Q72" s="36"/>
      <c r="R72" s="36"/>
      <c r="S72" s="36"/>
      <c r="T72" s="36"/>
      <c r="U72" s="36"/>
      <c r="V72" s="36"/>
    </row>
    <row r="73" spans="1:22" ht="12" customHeight="1" x14ac:dyDescent="0.2">
      <c r="A73" s="105"/>
      <c r="B73" s="100"/>
      <c r="C73" s="95"/>
      <c r="D73" s="36"/>
      <c r="E73" s="36"/>
      <c r="F73" s="36"/>
      <c r="G73" s="36"/>
      <c r="H73" s="36"/>
      <c r="I73" s="36"/>
      <c r="J73" s="36"/>
      <c r="K73" s="36"/>
      <c r="L73" s="36"/>
      <c r="M73" s="36"/>
      <c r="N73" s="36"/>
      <c r="O73" s="36"/>
      <c r="P73" s="36"/>
      <c r="Q73" s="36"/>
      <c r="R73" s="36"/>
      <c r="S73" s="36"/>
      <c r="T73" s="36"/>
      <c r="U73" s="36"/>
      <c r="V73" s="36"/>
    </row>
    <row r="74" spans="1:22" ht="12" customHeight="1" x14ac:dyDescent="0.2">
      <c r="A74" s="105"/>
      <c r="B74" s="100"/>
      <c r="C74" s="95"/>
      <c r="D74" s="36"/>
      <c r="E74" s="36"/>
      <c r="F74" s="36"/>
      <c r="G74" s="36"/>
      <c r="H74" s="36"/>
      <c r="I74" s="36"/>
      <c r="J74" s="36"/>
      <c r="K74" s="36"/>
      <c r="L74" s="36"/>
      <c r="M74" s="36"/>
      <c r="N74" s="36"/>
      <c r="O74" s="36"/>
      <c r="P74" s="36"/>
      <c r="Q74" s="36"/>
      <c r="R74" s="36"/>
      <c r="S74" s="36"/>
      <c r="T74" s="36"/>
      <c r="U74" s="36"/>
      <c r="V74" s="36"/>
    </row>
    <row r="75" spans="1:22" ht="12" customHeight="1" x14ac:dyDescent="0.2">
      <c r="A75" s="105"/>
      <c r="B75" s="100"/>
      <c r="C75" s="95"/>
      <c r="D75" s="36"/>
      <c r="E75" s="36"/>
      <c r="F75" s="36"/>
      <c r="G75" s="36"/>
      <c r="H75" s="36"/>
      <c r="I75" s="36"/>
      <c r="J75" s="36"/>
      <c r="K75" s="36"/>
      <c r="L75" s="36"/>
      <c r="M75" s="36"/>
      <c r="N75" s="36"/>
      <c r="O75" s="36"/>
      <c r="P75" s="36"/>
      <c r="Q75" s="36"/>
      <c r="R75" s="36"/>
      <c r="S75" s="36"/>
      <c r="T75" s="36"/>
      <c r="U75" s="36"/>
      <c r="V75" s="36"/>
    </row>
    <row r="76" spans="1:22" ht="12" customHeight="1" x14ac:dyDescent="0.2">
      <c r="A76" s="105"/>
      <c r="B76" s="100"/>
      <c r="C76" s="95"/>
      <c r="D76" s="36"/>
      <c r="E76" s="36"/>
      <c r="F76" s="36"/>
      <c r="G76" s="36"/>
      <c r="H76" s="36"/>
      <c r="I76" s="36"/>
      <c r="J76" s="36"/>
      <c r="K76" s="36"/>
      <c r="L76" s="36"/>
      <c r="M76" s="36"/>
      <c r="N76" s="36"/>
      <c r="O76" s="36"/>
      <c r="P76" s="36"/>
      <c r="Q76" s="36"/>
      <c r="R76" s="36"/>
      <c r="S76" s="36"/>
      <c r="T76" s="36"/>
      <c r="U76" s="36"/>
      <c r="V76" s="36"/>
    </row>
    <row r="77" spans="1:22" ht="12" customHeight="1" x14ac:dyDescent="0.2">
      <c r="A77" s="105"/>
      <c r="B77" s="100"/>
      <c r="C77" s="95"/>
      <c r="D77" s="36"/>
      <c r="E77" s="36"/>
      <c r="F77" s="36"/>
      <c r="G77" s="36"/>
      <c r="H77" s="36"/>
      <c r="I77" s="36"/>
      <c r="J77" s="36"/>
      <c r="K77" s="36"/>
      <c r="L77" s="36"/>
      <c r="M77" s="36"/>
      <c r="N77" s="36"/>
      <c r="O77" s="36"/>
      <c r="P77" s="36"/>
      <c r="Q77" s="36"/>
      <c r="R77" s="36"/>
      <c r="S77" s="36"/>
      <c r="T77" s="36"/>
      <c r="U77" s="36"/>
      <c r="V77" s="36"/>
    </row>
    <row r="78" spans="1:22" ht="12" customHeight="1" x14ac:dyDescent="0.2">
      <c r="A78" s="105"/>
      <c r="B78" s="100"/>
      <c r="C78" s="95"/>
      <c r="D78" s="36"/>
      <c r="E78" s="36"/>
      <c r="F78" s="36"/>
      <c r="G78" s="36"/>
      <c r="H78" s="36"/>
      <c r="I78" s="36"/>
      <c r="J78" s="36"/>
      <c r="K78" s="36"/>
      <c r="L78" s="36"/>
      <c r="M78" s="36"/>
      <c r="N78" s="36"/>
      <c r="O78" s="36"/>
      <c r="P78" s="36"/>
      <c r="Q78" s="36"/>
      <c r="R78" s="36"/>
      <c r="S78" s="36"/>
      <c r="T78" s="36"/>
      <c r="U78" s="36"/>
      <c r="V78" s="36"/>
    </row>
    <row r="79" spans="1:22" ht="12" customHeight="1" x14ac:dyDescent="0.2">
      <c r="A79" s="105"/>
      <c r="B79" s="100"/>
      <c r="C79" s="95"/>
      <c r="D79" s="36"/>
      <c r="E79" s="36"/>
      <c r="F79" s="36"/>
      <c r="G79" s="36"/>
      <c r="H79" s="36"/>
      <c r="I79" s="36"/>
      <c r="J79" s="36"/>
      <c r="K79" s="36"/>
      <c r="L79" s="36"/>
      <c r="M79" s="36"/>
      <c r="N79" s="36"/>
      <c r="O79" s="36"/>
      <c r="P79" s="36"/>
      <c r="Q79" s="36"/>
      <c r="R79" s="36"/>
      <c r="S79" s="36"/>
      <c r="T79" s="36"/>
      <c r="U79" s="36"/>
      <c r="V79" s="36"/>
    </row>
    <row r="80" spans="1:22" ht="12" customHeight="1" x14ac:dyDescent="0.2">
      <c r="A80" s="105"/>
      <c r="B80" s="100"/>
      <c r="C80" s="95"/>
      <c r="D80" s="36"/>
      <c r="E80" s="36"/>
      <c r="F80" s="36"/>
      <c r="G80" s="36"/>
      <c r="H80" s="36"/>
      <c r="I80" s="36"/>
      <c r="J80" s="36"/>
      <c r="K80" s="36"/>
      <c r="L80" s="36"/>
      <c r="M80" s="36"/>
      <c r="N80" s="36"/>
      <c r="O80" s="36"/>
      <c r="P80" s="36"/>
      <c r="Q80" s="36"/>
      <c r="R80" s="36"/>
      <c r="S80" s="36"/>
      <c r="T80" s="36"/>
      <c r="U80" s="36"/>
      <c r="V80" s="36"/>
    </row>
    <row r="81" spans="1:22" ht="12" customHeight="1" x14ac:dyDescent="0.2">
      <c r="A81" s="105"/>
      <c r="B81" s="100"/>
      <c r="C81" s="95"/>
      <c r="D81" s="36"/>
      <c r="E81" s="36"/>
      <c r="F81" s="36"/>
      <c r="G81" s="36"/>
      <c r="H81" s="36"/>
      <c r="I81" s="36"/>
      <c r="J81" s="36"/>
      <c r="K81" s="36"/>
      <c r="L81" s="36"/>
      <c r="M81" s="36"/>
      <c r="N81" s="36"/>
      <c r="O81" s="36"/>
      <c r="P81" s="36"/>
      <c r="Q81" s="36"/>
      <c r="R81" s="36"/>
      <c r="S81" s="36"/>
      <c r="T81" s="36"/>
      <c r="U81" s="36"/>
      <c r="V81" s="36"/>
    </row>
    <row r="82" spans="1:22" ht="12" customHeight="1" x14ac:dyDescent="0.2">
      <c r="A82" s="105"/>
      <c r="B82" s="100"/>
      <c r="C82" s="95"/>
      <c r="D82" s="36"/>
      <c r="E82" s="36"/>
      <c r="F82" s="36"/>
      <c r="G82" s="36"/>
      <c r="H82" s="36"/>
      <c r="I82" s="36"/>
      <c r="J82" s="36"/>
      <c r="K82" s="36"/>
      <c r="L82" s="36"/>
      <c r="M82" s="36"/>
      <c r="N82" s="36"/>
      <c r="O82" s="36"/>
      <c r="P82" s="36"/>
      <c r="Q82" s="36"/>
      <c r="R82" s="36"/>
      <c r="S82" s="36"/>
      <c r="T82" s="36"/>
      <c r="U82" s="36"/>
      <c r="V82" s="36"/>
    </row>
    <row r="83" spans="1:22" ht="12" customHeight="1" x14ac:dyDescent="0.2">
      <c r="A83" s="105"/>
      <c r="B83" s="100"/>
      <c r="C83" s="95"/>
      <c r="D83" s="36"/>
      <c r="E83" s="36"/>
      <c r="F83" s="36"/>
      <c r="G83" s="36"/>
      <c r="H83" s="36"/>
      <c r="I83" s="36"/>
      <c r="J83" s="36"/>
      <c r="K83" s="36"/>
      <c r="L83" s="36"/>
      <c r="M83" s="36"/>
      <c r="N83" s="36"/>
      <c r="O83" s="36"/>
      <c r="P83" s="36"/>
      <c r="Q83" s="36"/>
      <c r="R83" s="36"/>
      <c r="S83" s="36"/>
      <c r="T83" s="36"/>
      <c r="U83" s="36"/>
      <c r="V83" s="36"/>
    </row>
    <row r="84" spans="1:22" ht="12" customHeight="1" x14ac:dyDescent="0.2">
      <c r="A84" s="105"/>
      <c r="B84" s="100"/>
      <c r="C84" s="95"/>
      <c r="D84" s="36"/>
      <c r="E84" s="36"/>
      <c r="F84" s="36"/>
      <c r="G84" s="36"/>
      <c r="H84" s="36"/>
      <c r="I84" s="36"/>
      <c r="J84" s="36"/>
      <c r="K84" s="36"/>
      <c r="L84" s="36"/>
      <c r="M84" s="36"/>
      <c r="N84" s="36"/>
      <c r="O84" s="36"/>
      <c r="P84" s="36"/>
      <c r="Q84" s="36"/>
      <c r="R84" s="36"/>
      <c r="S84" s="36"/>
      <c r="T84" s="36"/>
      <c r="U84" s="36"/>
      <c r="V84" s="36"/>
    </row>
    <row r="85" spans="1:22" ht="12" customHeight="1" x14ac:dyDescent="0.2">
      <c r="A85" s="105"/>
      <c r="B85" s="100"/>
      <c r="C85" s="95"/>
      <c r="D85" s="36"/>
      <c r="E85" s="36"/>
      <c r="F85" s="36"/>
      <c r="G85" s="36"/>
      <c r="H85" s="36"/>
      <c r="I85" s="36"/>
      <c r="J85" s="36"/>
      <c r="K85" s="36"/>
      <c r="L85" s="36"/>
      <c r="M85" s="36"/>
      <c r="N85" s="36"/>
      <c r="O85" s="36"/>
      <c r="P85" s="36"/>
      <c r="Q85" s="36"/>
      <c r="R85" s="36"/>
      <c r="S85" s="36"/>
      <c r="T85" s="36"/>
      <c r="U85" s="36"/>
      <c r="V85" s="36"/>
    </row>
    <row r="86" spans="1:22" ht="12" customHeight="1" x14ac:dyDescent="0.2">
      <c r="A86" s="105"/>
      <c r="B86" s="100"/>
      <c r="C86" s="95"/>
      <c r="D86" s="36"/>
      <c r="E86" s="36"/>
      <c r="F86" s="36"/>
      <c r="G86" s="36"/>
      <c r="H86" s="36"/>
      <c r="I86" s="36"/>
      <c r="J86" s="36"/>
      <c r="K86" s="36"/>
      <c r="L86" s="36"/>
      <c r="M86" s="36"/>
      <c r="N86" s="36"/>
      <c r="O86" s="36"/>
      <c r="P86" s="36"/>
      <c r="Q86" s="36"/>
      <c r="R86" s="36"/>
      <c r="S86" s="36"/>
      <c r="T86" s="36"/>
      <c r="U86" s="36"/>
      <c r="V86" s="36"/>
    </row>
    <row r="87" spans="1:22" ht="12" customHeight="1" x14ac:dyDescent="0.2">
      <c r="A87" s="105"/>
      <c r="B87" s="100"/>
      <c r="C87" s="95"/>
      <c r="D87" s="36"/>
      <c r="E87" s="36"/>
      <c r="F87" s="36"/>
      <c r="G87" s="36"/>
      <c r="H87" s="36"/>
      <c r="I87" s="36"/>
      <c r="J87" s="36"/>
      <c r="K87" s="36"/>
      <c r="L87" s="36"/>
      <c r="M87" s="36"/>
      <c r="N87" s="36"/>
      <c r="O87" s="36"/>
      <c r="P87" s="36"/>
      <c r="Q87" s="36"/>
      <c r="R87" s="36"/>
      <c r="S87" s="36"/>
      <c r="T87" s="36"/>
      <c r="U87" s="36"/>
      <c r="V87" s="36"/>
    </row>
    <row r="88" spans="1:22" ht="12" customHeight="1" x14ac:dyDescent="0.2">
      <c r="A88" s="105"/>
      <c r="B88" s="100"/>
      <c r="C88" s="95"/>
      <c r="D88" s="36"/>
      <c r="E88" s="36"/>
      <c r="F88" s="36"/>
      <c r="G88" s="36"/>
      <c r="H88" s="36"/>
      <c r="I88" s="36"/>
      <c r="J88" s="36"/>
      <c r="K88" s="36"/>
      <c r="L88" s="36"/>
      <c r="M88" s="36"/>
      <c r="N88" s="36"/>
      <c r="O88" s="36"/>
      <c r="P88" s="36"/>
      <c r="Q88" s="36"/>
      <c r="R88" s="36"/>
      <c r="S88" s="36"/>
      <c r="T88" s="36"/>
      <c r="U88" s="36"/>
      <c r="V88" s="36"/>
    </row>
    <row r="89" spans="1:22" ht="12" customHeight="1" x14ac:dyDescent="0.2">
      <c r="A89" s="105"/>
      <c r="B89" s="100"/>
      <c r="C89" s="95"/>
      <c r="D89" s="36"/>
      <c r="E89" s="36"/>
      <c r="F89" s="36"/>
      <c r="G89" s="36"/>
      <c r="H89" s="36"/>
      <c r="I89" s="36"/>
      <c r="J89" s="36"/>
      <c r="K89" s="36"/>
      <c r="L89" s="36"/>
      <c r="M89" s="36"/>
      <c r="N89" s="36"/>
      <c r="O89" s="36"/>
      <c r="P89" s="36"/>
      <c r="Q89" s="36"/>
      <c r="R89" s="36"/>
      <c r="S89" s="36"/>
      <c r="T89" s="36"/>
      <c r="U89" s="36"/>
      <c r="V89" s="36"/>
    </row>
    <row r="90" spans="1:22" ht="12" customHeight="1" x14ac:dyDescent="0.2">
      <c r="A90" s="105"/>
      <c r="B90" s="100"/>
      <c r="C90" s="95"/>
      <c r="D90" s="36"/>
      <c r="E90" s="36"/>
      <c r="F90" s="36"/>
      <c r="G90" s="36"/>
      <c r="H90" s="36"/>
      <c r="I90" s="36"/>
      <c r="J90" s="36"/>
      <c r="K90" s="36"/>
      <c r="L90" s="36"/>
      <c r="M90" s="36"/>
      <c r="N90" s="36"/>
      <c r="O90" s="36"/>
      <c r="P90" s="36"/>
      <c r="Q90" s="36"/>
      <c r="R90" s="36"/>
      <c r="S90" s="36"/>
      <c r="T90" s="36"/>
      <c r="U90" s="36"/>
      <c r="V90" s="36"/>
    </row>
    <row r="91" spans="1:22" ht="12" customHeight="1" x14ac:dyDescent="0.2">
      <c r="A91" s="105"/>
      <c r="B91" s="100"/>
      <c r="C91" s="95"/>
      <c r="D91" s="36"/>
      <c r="E91" s="36"/>
      <c r="F91" s="36"/>
      <c r="G91" s="36"/>
      <c r="H91" s="36"/>
      <c r="I91" s="36"/>
      <c r="J91" s="36"/>
      <c r="K91" s="36"/>
      <c r="L91" s="36"/>
      <c r="M91" s="36"/>
      <c r="N91" s="36"/>
      <c r="O91" s="36"/>
      <c r="P91" s="36"/>
      <c r="Q91" s="36"/>
      <c r="R91" s="36"/>
      <c r="S91" s="36"/>
      <c r="T91" s="36"/>
      <c r="U91" s="36"/>
      <c r="V91" s="36"/>
    </row>
    <row r="92" spans="1:22" ht="12" customHeight="1" x14ac:dyDescent="0.2">
      <c r="A92" s="105"/>
      <c r="B92" s="100"/>
      <c r="C92" s="95"/>
      <c r="D92" s="36"/>
      <c r="E92" s="36"/>
      <c r="F92" s="36"/>
      <c r="G92" s="36"/>
      <c r="H92" s="36"/>
      <c r="I92" s="36"/>
      <c r="J92" s="36"/>
      <c r="K92" s="36"/>
      <c r="L92" s="36"/>
      <c r="M92" s="36"/>
      <c r="N92" s="36"/>
      <c r="O92" s="36"/>
      <c r="P92" s="36"/>
      <c r="Q92" s="36"/>
      <c r="R92" s="36"/>
      <c r="S92" s="36"/>
      <c r="T92" s="36"/>
      <c r="U92" s="36"/>
      <c r="V92" s="36"/>
    </row>
    <row r="93" spans="1:22" ht="12" customHeight="1" x14ac:dyDescent="0.2">
      <c r="A93" s="105"/>
      <c r="B93" s="100"/>
      <c r="C93" s="95"/>
      <c r="D93" s="36"/>
      <c r="E93" s="36"/>
      <c r="F93" s="36"/>
      <c r="G93" s="36"/>
      <c r="H93" s="36"/>
      <c r="I93" s="36"/>
      <c r="J93" s="36"/>
      <c r="K93" s="36"/>
      <c r="L93" s="36"/>
      <c r="M93" s="36"/>
      <c r="N93" s="36"/>
      <c r="O93" s="36"/>
      <c r="P93" s="36"/>
      <c r="Q93" s="36"/>
      <c r="R93" s="36"/>
      <c r="S93" s="36"/>
      <c r="T93" s="36"/>
      <c r="U93" s="36"/>
      <c r="V93" s="36"/>
    </row>
    <row r="94" spans="1:22" ht="12" customHeight="1" x14ac:dyDescent="0.2">
      <c r="A94" s="105"/>
      <c r="B94" s="100"/>
      <c r="C94" s="95"/>
      <c r="D94" s="36"/>
      <c r="E94" s="36"/>
      <c r="F94" s="36"/>
      <c r="G94" s="36"/>
      <c r="H94" s="36"/>
      <c r="I94" s="36"/>
      <c r="J94" s="36"/>
      <c r="K94" s="36"/>
      <c r="L94" s="36"/>
      <c r="M94" s="36"/>
      <c r="N94" s="36"/>
      <c r="O94" s="36"/>
      <c r="P94" s="36"/>
      <c r="Q94" s="36"/>
      <c r="R94" s="36"/>
      <c r="S94" s="36"/>
      <c r="T94" s="36"/>
      <c r="U94" s="36"/>
      <c r="V94" s="36"/>
    </row>
    <row r="95" spans="1:22" ht="12" customHeight="1" x14ac:dyDescent="0.2">
      <c r="A95" s="105"/>
      <c r="B95" s="100"/>
      <c r="C95" s="95"/>
      <c r="D95" s="36"/>
      <c r="E95" s="36"/>
      <c r="F95" s="36"/>
      <c r="G95" s="36"/>
      <c r="H95" s="36"/>
      <c r="I95" s="36"/>
      <c r="J95" s="36"/>
      <c r="K95" s="36"/>
      <c r="L95" s="36"/>
      <c r="M95" s="36"/>
      <c r="N95" s="36"/>
      <c r="O95" s="36"/>
      <c r="P95" s="36"/>
      <c r="Q95" s="36"/>
      <c r="R95" s="36"/>
      <c r="S95" s="36"/>
      <c r="T95" s="36"/>
      <c r="U95" s="36"/>
      <c r="V95" s="36"/>
    </row>
    <row r="96" spans="1:22" ht="12" customHeight="1" x14ac:dyDescent="0.2">
      <c r="A96" s="105"/>
      <c r="B96" s="100"/>
      <c r="C96" s="95"/>
      <c r="D96" s="36"/>
      <c r="E96" s="36"/>
      <c r="F96" s="36"/>
      <c r="G96" s="36"/>
      <c r="H96" s="36"/>
      <c r="I96" s="36"/>
      <c r="J96" s="36"/>
      <c r="K96" s="36"/>
      <c r="L96" s="36"/>
      <c r="M96" s="36"/>
      <c r="N96" s="36"/>
      <c r="O96" s="36"/>
      <c r="P96" s="36"/>
      <c r="Q96" s="36"/>
      <c r="R96" s="36"/>
      <c r="S96" s="36"/>
      <c r="T96" s="36"/>
      <c r="U96" s="36"/>
      <c r="V96" s="36"/>
    </row>
    <row r="97" spans="1:22" ht="12" customHeight="1" x14ac:dyDescent="0.2">
      <c r="A97" s="105"/>
      <c r="B97" s="100"/>
      <c r="C97" s="95"/>
      <c r="D97" s="36"/>
      <c r="E97" s="36"/>
      <c r="F97" s="36"/>
      <c r="G97" s="36"/>
      <c r="H97" s="36"/>
      <c r="I97" s="36"/>
      <c r="J97" s="36"/>
      <c r="K97" s="36"/>
      <c r="L97" s="36"/>
      <c r="M97" s="36"/>
      <c r="N97" s="36"/>
      <c r="O97" s="36"/>
      <c r="P97" s="36"/>
      <c r="Q97" s="36"/>
      <c r="R97" s="36"/>
      <c r="S97" s="36"/>
      <c r="T97" s="36"/>
      <c r="U97" s="36"/>
      <c r="V97" s="36"/>
    </row>
    <row r="98" spans="1:22" ht="12" customHeight="1" x14ac:dyDescent="0.2">
      <c r="A98" s="105"/>
      <c r="B98" s="100"/>
      <c r="C98" s="95"/>
      <c r="D98" s="36"/>
      <c r="E98" s="36"/>
      <c r="F98" s="36"/>
      <c r="G98" s="36"/>
      <c r="H98" s="36"/>
      <c r="I98" s="36"/>
      <c r="J98" s="36"/>
      <c r="K98" s="36"/>
      <c r="L98" s="36"/>
      <c r="M98" s="36"/>
      <c r="N98" s="36"/>
      <c r="O98" s="36"/>
      <c r="P98" s="36"/>
      <c r="Q98" s="36"/>
      <c r="R98" s="36"/>
      <c r="S98" s="36"/>
      <c r="T98" s="36"/>
      <c r="U98" s="36"/>
      <c r="V98" s="36"/>
    </row>
    <row r="99" spans="1:22" ht="12" customHeight="1" x14ac:dyDescent="0.2">
      <c r="A99" s="105"/>
      <c r="B99" s="100"/>
      <c r="C99" s="95"/>
      <c r="D99" s="36"/>
      <c r="E99" s="36"/>
      <c r="F99" s="36"/>
      <c r="G99" s="36"/>
      <c r="H99" s="36"/>
      <c r="I99" s="36"/>
      <c r="J99" s="36"/>
      <c r="K99" s="36"/>
      <c r="L99" s="36"/>
      <c r="M99" s="36"/>
      <c r="N99" s="36"/>
      <c r="O99" s="36"/>
      <c r="P99" s="36"/>
      <c r="Q99" s="36"/>
      <c r="R99" s="36"/>
      <c r="S99" s="36"/>
      <c r="T99" s="36"/>
      <c r="U99" s="36"/>
      <c r="V99" s="36"/>
    </row>
    <row r="100" spans="1:22" ht="12" customHeight="1" x14ac:dyDescent="0.2">
      <c r="A100" s="105"/>
      <c r="B100" s="100"/>
      <c r="C100" s="95"/>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105"/>
      <c r="B101" s="100"/>
      <c r="C101" s="95"/>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105"/>
      <c r="B102" s="100"/>
      <c r="C102" s="95"/>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105"/>
      <c r="B103" s="100"/>
      <c r="C103" s="95"/>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105"/>
      <c r="B104" s="100"/>
      <c r="C104" s="95"/>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105"/>
      <c r="B105" s="100"/>
      <c r="C105" s="95"/>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105"/>
      <c r="B106" s="100"/>
      <c r="C106" s="95"/>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105"/>
      <c r="B107" s="100"/>
      <c r="C107" s="95"/>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105"/>
      <c r="B108" s="100"/>
      <c r="C108" s="95"/>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105"/>
      <c r="B109" s="100"/>
      <c r="C109" s="95"/>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105"/>
      <c r="B110" s="100"/>
      <c r="C110" s="95"/>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105"/>
      <c r="B111" s="100"/>
      <c r="C111" s="95"/>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105"/>
      <c r="B112" s="100"/>
      <c r="C112" s="95"/>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105"/>
      <c r="B113" s="100"/>
      <c r="C113" s="95"/>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105"/>
      <c r="B114" s="100"/>
      <c r="C114" s="95"/>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105"/>
      <c r="B115" s="100"/>
      <c r="C115" s="95"/>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105"/>
      <c r="B116" s="100"/>
      <c r="C116" s="95"/>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105"/>
      <c r="B117" s="100"/>
      <c r="C117" s="95"/>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105"/>
      <c r="B118" s="100"/>
      <c r="C118" s="95"/>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105"/>
      <c r="B119" s="100"/>
      <c r="C119" s="95"/>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105"/>
      <c r="B120" s="100"/>
      <c r="C120" s="95"/>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105"/>
      <c r="B121" s="100"/>
      <c r="C121" s="95"/>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105"/>
      <c r="B122" s="100"/>
      <c r="C122" s="95"/>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105"/>
      <c r="B123" s="100"/>
      <c r="C123" s="95"/>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105"/>
      <c r="B124" s="100"/>
      <c r="C124" s="95"/>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105"/>
      <c r="B125" s="100"/>
      <c r="C125" s="95"/>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105"/>
      <c r="B126" s="100"/>
      <c r="C126" s="95"/>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105"/>
      <c r="B127" s="100"/>
      <c r="C127" s="95"/>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105"/>
      <c r="B128" s="100"/>
      <c r="C128" s="95"/>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105"/>
      <c r="B129" s="100"/>
      <c r="C129" s="95"/>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105"/>
      <c r="B130" s="100"/>
      <c r="C130" s="95"/>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105"/>
      <c r="B131" s="100"/>
      <c r="C131" s="95"/>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105"/>
      <c r="B132" s="100"/>
      <c r="C132" s="95"/>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105"/>
      <c r="B133" s="100"/>
      <c r="C133" s="95"/>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105"/>
      <c r="B134" s="100"/>
      <c r="C134" s="95"/>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105"/>
      <c r="B135" s="100"/>
      <c r="C135" s="95"/>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105"/>
      <c r="B136" s="100"/>
      <c r="C136" s="95"/>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105"/>
      <c r="B137" s="100"/>
      <c r="C137" s="95"/>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105"/>
      <c r="B138" s="100"/>
      <c r="C138" s="95"/>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105"/>
      <c r="B139" s="100"/>
      <c r="C139" s="95"/>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105"/>
      <c r="B140" s="100"/>
      <c r="C140" s="95"/>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105"/>
      <c r="B141" s="100"/>
      <c r="C141" s="95"/>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105"/>
      <c r="B142" s="100"/>
      <c r="C142" s="95"/>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105"/>
      <c r="B143" s="100"/>
      <c r="C143" s="95"/>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105"/>
      <c r="B144" s="100"/>
      <c r="C144" s="95"/>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105"/>
      <c r="B145" s="100"/>
      <c r="C145" s="95"/>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105"/>
      <c r="B146" s="100"/>
      <c r="C146" s="95"/>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105"/>
      <c r="B147" s="100"/>
      <c r="C147" s="95"/>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105"/>
      <c r="B148" s="100"/>
      <c r="C148" s="95"/>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105"/>
      <c r="B149" s="100"/>
      <c r="C149" s="95"/>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105"/>
      <c r="B150" s="100"/>
      <c r="C150" s="95"/>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105"/>
      <c r="B151" s="100"/>
      <c r="C151" s="95"/>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105"/>
      <c r="B152" s="100"/>
      <c r="C152" s="95"/>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105"/>
      <c r="B153" s="100"/>
      <c r="C153" s="95"/>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105"/>
      <c r="B154" s="100"/>
      <c r="C154" s="95"/>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105"/>
      <c r="B155" s="100"/>
      <c r="C155" s="95"/>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105"/>
      <c r="B156" s="100"/>
      <c r="C156" s="95"/>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105"/>
      <c r="B157" s="100"/>
      <c r="C157" s="95"/>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105"/>
      <c r="B158" s="100"/>
      <c r="C158" s="95"/>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105"/>
      <c r="B159" s="100"/>
      <c r="C159" s="95"/>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105"/>
      <c r="B160" s="100"/>
      <c r="C160" s="95"/>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105"/>
      <c r="B161" s="100"/>
      <c r="C161" s="95"/>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105"/>
      <c r="B162" s="100"/>
      <c r="C162" s="95"/>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105"/>
      <c r="B163" s="100"/>
      <c r="C163" s="95"/>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105"/>
      <c r="B164" s="100"/>
      <c r="C164" s="95"/>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105"/>
      <c r="B165" s="100"/>
      <c r="C165" s="95"/>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105"/>
      <c r="B166" s="100"/>
      <c r="C166" s="95"/>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105"/>
      <c r="B167" s="100"/>
      <c r="C167" s="95"/>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105"/>
      <c r="B168" s="100"/>
      <c r="C168" s="95"/>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105"/>
      <c r="B169" s="100"/>
      <c r="C169" s="95"/>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105"/>
      <c r="B170" s="100"/>
      <c r="C170" s="95"/>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105"/>
      <c r="B171" s="100"/>
      <c r="C171" s="95"/>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105"/>
      <c r="B172" s="100"/>
      <c r="C172" s="95"/>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105"/>
      <c r="B173" s="100"/>
      <c r="C173" s="95"/>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105"/>
      <c r="B174" s="100"/>
      <c r="C174" s="95"/>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105"/>
      <c r="B175" s="100"/>
      <c r="C175" s="95"/>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105"/>
      <c r="B176" s="100"/>
      <c r="C176" s="95"/>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105"/>
      <c r="B177" s="100"/>
      <c r="C177" s="95"/>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105"/>
      <c r="B178" s="100"/>
      <c r="C178" s="95"/>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105"/>
      <c r="B179" s="100"/>
      <c r="C179" s="95"/>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105"/>
      <c r="B180" s="100"/>
      <c r="C180" s="95"/>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105"/>
      <c r="B181" s="100"/>
      <c r="C181" s="95"/>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105"/>
      <c r="B182" s="100"/>
      <c r="C182" s="95"/>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105"/>
      <c r="B183" s="100"/>
      <c r="C183" s="95"/>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105"/>
      <c r="B184" s="100"/>
      <c r="C184" s="95"/>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105"/>
      <c r="B185" s="100"/>
      <c r="C185" s="95"/>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105"/>
      <c r="B186" s="100"/>
      <c r="C186" s="95"/>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105"/>
      <c r="B187" s="100"/>
      <c r="C187" s="95"/>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105"/>
      <c r="B188" s="100"/>
      <c r="C188" s="95"/>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105"/>
      <c r="B189" s="100"/>
      <c r="C189" s="95"/>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105"/>
      <c r="B190" s="100"/>
      <c r="C190" s="95"/>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105"/>
      <c r="B191" s="100"/>
      <c r="C191" s="95"/>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105"/>
      <c r="B192" s="100"/>
      <c r="C192" s="95"/>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105"/>
      <c r="B193" s="100"/>
      <c r="C193" s="95"/>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105"/>
      <c r="B194" s="100"/>
      <c r="C194" s="95"/>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105"/>
      <c r="B195" s="100"/>
      <c r="C195" s="95"/>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105"/>
      <c r="B196" s="100"/>
      <c r="C196" s="95"/>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105"/>
      <c r="B197" s="100"/>
      <c r="C197" s="95"/>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105"/>
      <c r="B198" s="100"/>
      <c r="C198" s="95"/>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105"/>
      <c r="B199" s="100"/>
      <c r="C199" s="95"/>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105"/>
      <c r="B200" s="100"/>
      <c r="C200" s="95"/>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105"/>
      <c r="B201" s="100"/>
      <c r="C201" s="95"/>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105"/>
      <c r="B202" s="100"/>
      <c r="C202" s="95"/>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105"/>
      <c r="B203" s="100"/>
      <c r="C203" s="95"/>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105"/>
      <c r="B204" s="100"/>
      <c r="C204" s="95"/>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105"/>
      <c r="B205" s="100"/>
      <c r="C205" s="95"/>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105"/>
      <c r="B206" s="100"/>
      <c r="C206" s="95"/>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105"/>
      <c r="B207" s="100"/>
      <c r="C207" s="95"/>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105"/>
      <c r="B208" s="100"/>
      <c r="C208" s="95"/>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105"/>
      <c r="B209" s="100"/>
      <c r="C209" s="95"/>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105"/>
      <c r="B210" s="100"/>
      <c r="C210" s="95"/>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105"/>
      <c r="B211" s="100"/>
      <c r="C211" s="95"/>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105"/>
      <c r="B212" s="100"/>
      <c r="C212" s="95"/>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105"/>
      <c r="B213" s="100"/>
      <c r="C213" s="95"/>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105"/>
      <c r="B214" s="100"/>
      <c r="C214" s="95"/>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105"/>
      <c r="B215" s="100"/>
      <c r="C215" s="95"/>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105"/>
      <c r="B216" s="100"/>
      <c r="C216" s="95"/>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105"/>
      <c r="B217" s="100"/>
      <c r="C217" s="95"/>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105"/>
      <c r="B218" s="100"/>
      <c r="C218" s="95"/>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105"/>
      <c r="B219" s="100"/>
      <c r="C219" s="95"/>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105"/>
      <c r="B220" s="100"/>
      <c r="C220" s="95"/>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105"/>
      <c r="B221" s="100"/>
      <c r="C221" s="95"/>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105"/>
      <c r="B222" s="100"/>
      <c r="C222" s="95"/>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105"/>
      <c r="B223" s="100"/>
      <c r="C223" s="95"/>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105"/>
      <c r="B224" s="100"/>
      <c r="C224" s="95"/>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105"/>
      <c r="B225" s="100"/>
      <c r="C225" s="95"/>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105"/>
      <c r="B226" s="100"/>
      <c r="C226" s="95"/>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105"/>
      <c r="B227" s="100"/>
      <c r="C227" s="95"/>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105"/>
      <c r="B228" s="100"/>
      <c r="C228" s="95"/>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105"/>
      <c r="B229" s="100"/>
      <c r="C229" s="95"/>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105"/>
      <c r="B230" s="100"/>
      <c r="C230" s="95"/>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105"/>
      <c r="B231" s="100"/>
      <c r="C231" s="95"/>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105"/>
      <c r="B232" s="100"/>
      <c r="C232" s="95"/>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105"/>
      <c r="B233" s="100"/>
      <c r="C233" s="95"/>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105"/>
      <c r="B234" s="100"/>
      <c r="C234" s="95"/>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105"/>
      <c r="B235" s="100"/>
      <c r="C235" s="95"/>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105"/>
      <c r="B236" s="100"/>
      <c r="C236" s="95"/>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105"/>
      <c r="B237" s="100"/>
      <c r="C237" s="95"/>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105"/>
      <c r="B238" s="100"/>
      <c r="C238" s="95"/>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105"/>
      <c r="B239" s="100"/>
      <c r="C239" s="95"/>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105"/>
      <c r="B240" s="100"/>
      <c r="C240" s="95"/>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105"/>
      <c r="B241" s="100"/>
      <c r="C241" s="95"/>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105"/>
      <c r="B242" s="100"/>
      <c r="C242" s="95"/>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105"/>
      <c r="B243" s="100"/>
      <c r="C243" s="95"/>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105"/>
      <c r="B244" s="100"/>
      <c r="C244" s="95"/>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105"/>
      <c r="B245" s="100"/>
      <c r="C245" s="95"/>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105"/>
      <c r="B246" s="100"/>
      <c r="C246" s="95"/>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105"/>
      <c r="B247" s="100"/>
      <c r="C247" s="95"/>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105"/>
      <c r="B248" s="100"/>
      <c r="C248" s="95"/>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B249"/>
      <c r="C249" s="97"/>
    </row>
    <row r="250" spans="1:22" ht="15.75" customHeight="1" x14ac:dyDescent="0.2">
      <c r="B250"/>
      <c r="C250" s="97"/>
    </row>
    <row r="251" spans="1:22" ht="15.75" customHeight="1" x14ac:dyDescent="0.2">
      <c r="B251"/>
      <c r="C251" s="97"/>
    </row>
    <row r="252" spans="1:22" ht="15.75" customHeight="1" x14ac:dyDescent="0.2">
      <c r="B252"/>
      <c r="C252" s="97"/>
    </row>
    <row r="253" spans="1:22" ht="15.75" customHeight="1" x14ac:dyDescent="0.2">
      <c r="B253"/>
      <c r="C253" s="97"/>
    </row>
    <row r="254" spans="1:22" ht="15.75" customHeight="1" x14ac:dyDescent="0.2">
      <c r="B254"/>
      <c r="C254" s="97"/>
    </row>
    <row r="255" spans="1:22" ht="15.75" customHeight="1" x14ac:dyDescent="0.2">
      <c r="B255"/>
      <c r="C255" s="97"/>
    </row>
    <row r="256" spans="1:22" ht="15.75" customHeight="1" x14ac:dyDescent="0.2">
      <c r="B256"/>
      <c r="C256" s="97"/>
    </row>
    <row r="257" spans="2:3" ht="15.75" customHeight="1" x14ac:dyDescent="0.2">
      <c r="B257"/>
      <c r="C257" s="97"/>
    </row>
    <row r="258" spans="2:3" ht="15.75" customHeight="1" x14ac:dyDescent="0.2">
      <c r="B258"/>
      <c r="C258" s="97"/>
    </row>
    <row r="259" spans="2:3" ht="15.75" customHeight="1" x14ac:dyDescent="0.2">
      <c r="B259"/>
      <c r="C259" s="97"/>
    </row>
    <row r="260" spans="2:3" ht="15.75" customHeight="1" x14ac:dyDescent="0.2">
      <c r="B260"/>
      <c r="C260" s="97"/>
    </row>
    <row r="261" spans="2:3" ht="15.75" customHeight="1" x14ac:dyDescent="0.2">
      <c r="B261"/>
      <c r="C261" s="97"/>
    </row>
    <row r="262" spans="2:3" ht="15.75" customHeight="1" x14ac:dyDescent="0.2">
      <c r="B262"/>
      <c r="C262" s="97"/>
    </row>
    <row r="263" spans="2:3" ht="15.75" customHeight="1" x14ac:dyDescent="0.2">
      <c r="B263"/>
      <c r="C263" s="97"/>
    </row>
    <row r="264" spans="2:3" ht="15.75" customHeight="1" x14ac:dyDescent="0.2">
      <c r="B264"/>
      <c r="C264" s="97"/>
    </row>
    <row r="265" spans="2:3" ht="15.75" customHeight="1" x14ac:dyDescent="0.2">
      <c r="B265"/>
      <c r="C265" s="97"/>
    </row>
    <row r="266" spans="2:3" ht="15.75" customHeight="1" x14ac:dyDescent="0.2">
      <c r="B266"/>
      <c r="C266" s="97"/>
    </row>
    <row r="267" spans="2:3" ht="15.75" customHeight="1" x14ac:dyDescent="0.2">
      <c r="B267"/>
      <c r="C267" s="97"/>
    </row>
    <row r="268" spans="2:3" ht="15.75" customHeight="1" x14ac:dyDescent="0.2">
      <c r="B268"/>
      <c r="C268" s="97"/>
    </row>
    <row r="269" spans="2:3" ht="15.75" customHeight="1" x14ac:dyDescent="0.2">
      <c r="B269"/>
      <c r="C269" s="97"/>
    </row>
    <row r="270" spans="2:3" ht="15.75" customHeight="1" x14ac:dyDescent="0.2">
      <c r="B270"/>
      <c r="C270" s="97"/>
    </row>
    <row r="271" spans="2:3" ht="15.75" customHeight="1" x14ac:dyDescent="0.2">
      <c r="B271"/>
      <c r="C271" s="97"/>
    </row>
    <row r="272" spans="2:3" ht="15.75" customHeight="1" x14ac:dyDescent="0.2">
      <c r="B272"/>
      <c r="C272" s="97"/>
    </row>
    <row r="273" spans="2:3" ht="15.75" customHeight="1" x14ac:dyDescent="0.2">
      <c r="B273"/>
      <c r="C273" s="97"/>
    </row>
    <row r="274" spans="2:3" ht="15.75" customHeight="1" x14ac:dyDescent="0.2">
      <c r="B274"/>
      <c r="C274" s="97"/>
    </row>
    <row r="275" spans="2:3" ht="15.75" customHeight="1" x14ac:dyDescent="0.2">
      <c r="B275"/>
      <c r="C275" s="97"/>
    </row>
    <row r="276" spans="2:3" ht="15.75" customHeight="1" x14ac:dyDescent="0.2">
      <c r="B276"/>
      <c r="C276" s="97"/>
    </row>
    <row r="277" spans="2:3" ht="15.75" customHeight="1" x14ac:dyDescent="0.2">
      <c r="B277"/>
      <c r="C277" s="97"/>
    </row>
    <row r="278" spans="2:3" ht="15.75" customHeight="1" x14ac:dyDescent="0.2">
      <c r="B278"/>
      <c r="C278" s="97"/>
    </row>
    <row r="279" spans="2:3" ht="15.75" customHeight="1" x14ac:dyDescent="0.2">
      <c r="B279"/>
      <c r="C279" s="97"/>
    </row>
    <row r="280" spans="2:3" ht="15.75" customHeight="1" x14ac:dyDescent="0.2">
      <c r="B280"/>
      <c r="C280" s="97"/>
    </row>
    <row r="281" spans="2:3" ht="15.75" customHeight="1" x14ac:dyDescent="0.2">
      <c r="B281"/>
      <c r="C281" s="97"/>
    </row>
    <row r="282" spans="2:3" ht="15.75" customHeight="1" x14ac:dyDescent="0.2">
      <c r="B282"/>
      <c r="C282" s="97"/>
    </row>
    <row r="283" spans="2:3" ht="15.75" customHeight="1" x14ac:dyDescent="0.2">
      <c r="B283"/>
      <c r="C283" s="97"/>
    </row>
    <row r="284" spans="2:3" ht="15.75" customHeight="1" x14ac:dyDescent="0.2">
      <c r="B284"/>
      <c r="C284" s="97"/>
    </row>
    <row r="285" spans="2:3" ht="15.75" customHeight="1" x14ac:dyDescent="0.2">
      <c r="B285"/>
      <c r="C285" s="97"/>
    </row>
    <row r="286" spans="2:3" ht="15.75" customHeight="1" x14ac:dyDescent="0.2">
      <c r="B286"/>
      <c r="C286" s="97"/>
    </row>
    <row r="287" spans="2:3" ht="15.75" customHeight="1" x14ac:dyDescent="0.2">
      <c r="B287"/>
      <c r="C287" s="97"/>
    </row>
    <row r="288" spans="2:3" ht="15.75" customHeight="1" x14ac:dyDescent="0.2">
      <c r="B288"/>
      <c r="C288" s="97"/>
    </row>
    <row r="289" spans="2:3" ht="15.75" customHeight="1" x14ac:dyDescent="0.2">
      <c r="B289"/>
      <c r="C289" s="97"/>
    </row>
    <row r="290" spans="2:3" ht="15.75" customHeight="1" x14ac:dyDescent="0.2">
      <c r="B290"/>
      <c r="C290" s="97"/>
    </row>
    <row r="291" spans="2:3" ht="15.75" customHeight="1" x14ac:dyDescent="0.2">
      <c r="B291"/>
      <c r="C291" s="97"/>
    </row>
    <row r="292" spans="2:3" ht="15.75" customHeight="1" x14ac:dyDescent="0.2">
      <c r="B292"/>
      <c r="C292" s="97"/>
    </row>
    <row r="293" spans="2:3" ht="15.75" customHeight="1" x14ac:dyDescent="0.2">
      <c r="B293"/>
      <c r="C293" s="97"/>
    </row>
    <row r="294" spans="2:3" ht="15.75" customHeight="1" x14ac:dyDescent="0.2">
      <c r="B294"/>
      <c r="C294" s="97"/>
    </row>
    <row r="295" spans="2:3" ht="15.75" customHeight="1" x14ac:dyDescent="0.2">
      <c r="B295"/>
      <c r="C295" s="97"/>
    </row>
    <row r="296" spans="2:3" ht="15.75" customHeight="1" x14ac:dyDescent="0.2">
      <c r="B296"/>
      <c r="C296" s="97"/>
    </row>
    <row r="297" spans="2:3" ht="15.75" customHeight="1" x14ac:dyDescent="0.2">
      <c r="B297"/>
      <c r="C297" s="97"/>
    </row>
    <row r="298" spans="2:3" ht="15.75" customHeight="1" x14ac:dyDescent="0.2">
      <c r="B298"/>
      <c r="C298" s="97"/>
    </row>
    <row r="299" spans="2:3" ht="15.75" customHeight="1" x14ac:dyDescent="0.2">
      <c r="B299"/>
      <c r="C299" s="97"/>
    </row>
    <row r="300" spans="2:3" ht="15.75" customHeight="1" x14ac:dyDescent="0.2">
      <c r="B300"/>
      <c r="C300" s="97"/>
    </row>
    <row r="301" spans="2:3" ht="15.75" customHeight="1" x14ac:dyDescent="0.2">
      <c r="B301"/>
      <c r="C301" s="97"/>
    </row>
    <row r="302" spans="2:3" ht="15.75" customHeight="1" x14ac:dyDescent="0.2">
      <c r="B302"/>
      <c r="C302" s="97"/>
    </row>
    <row r="303" spans="2:3" ht="15.75" customHeight="1" x14ac:dyDescent="0.2">
      <c r="B303"/>
      <c r="C303" s="97"/>
    </row>
    <row r="304" spans="2:3" ht="15.75" customHeight="1" x14ac:dyDescent="0.2">
      <c r="B304"/>
      <c r="C304" s="97"/>
    </row>
    <row r="305" spans="2:3" ht="15.75" customHeight="1" x14ac:dyDescent="0.2">
      <c r="B305"/>
      <c r="C305" s="97"/>
    </row>
    <row r="306" spans="2:3" ht="15.75" customHeight="1" x14ac:dyDescent="0.2">
      <c r="B306"/>
      <c r="C306" s="97"/>
    </row>
    <row r="307" spans="2:3" ht="15.75" customHeight="1" x14ac:dyDescent="0.2">
      <c r="B307"/>
      <c r="C307" s="97"/>
    </row>
    <row r="308" spans="2:3" ht="15.75" customHeight="1" x14ac:dyDescent="0.2">
      <c r="B308"/>
      <c r="C308" s="97"/>
    </row>
    <row r="309" spans="2:3" ht="15.75" customHeight="1" x14ac:dyDescent="0.2">
      <c r="B309"/>
      <c r="C309" s="97"/>
    </row>
    <row r="310" spans="2:3" ht="15.75" customHeight="1" x14ac:dyDescent="0.2">
      <c r="B310"/>
      <c r="C310" s="97"/>
    </row>
    <row r="311" spans="2:3" ht="15.75" customHeight="1" x14ac:dyDescent="0.2">
      <c r="B311"/>
      <c r="C311" s="97"/>
    </row>
    <row r="312" spans="2:3" ht="15.75" customHeight="1" x14ac:dyDescent="0.2">
      <c r="B312"/>
      <c r="C312" s="97"/>
    </row>
    <row r="313" spans="2:3" ht="15.75" customHeight="1" x14ac:dyDescent="0.2">
      <c r="B313"/>
      <c r="C313" s="97"/>
    </row>
    <row r="314" spans="2:3" ht="15.75" customHeight="1" x14ac:dyDescent="0.2">
      <c r="B314"/>
      <c r="C314" s="97"/>
    </row>
    <row r="315" spans="2:3" ht="15.75" customHeight="1" x14ac:dyDescent="0.2">
      <c r="B315"/>
      <c r="C315" s="97"/>
    </row>
    <row r="316" spans="2:3" ht="15.75" customHeight="1" x14ac:dyDescent="0.2">
      <c r="B316"/>
      <c r="C316" s="97"/>
    </row>
    <row r="317" spans="2:3" ht="15.75" customHeight="1" x14ac:dyDescent="0.2">
      <c r="B317"/>
      <c r="C317" s="97"/>
    </row>
    <row r="318" spans="2:3" ht="15.75" customHeight="1" x14ac:dyDescent="0.2">
      <c r="B318"/>
      <c r="C318" s="97"/>
    </row>
    <row r="319" spans="2:3" ht="15.75" customHeight="1" x14ac:dyDescent="0.2">
      <c r="B319"/>
      <c r="C319" s="97"/>
    </row>
    <row r="320" spans="2:3" ht="15.75" customHeight="1" x14ac:dyDescent="0.2">
      <c r="B320"/>
      <c r="C320" s="97"/>
    </row>
    <row r="321" spans="2:3" ht="15.75" customHeight="1" x14ac:dyDescent="0.2">
      <c r="B321"/>
      <c r="C321" s="97"/>
    </row>
    <row r="322" spans="2:3" ht="15.75" customHeight="1" x14ac:dyDescent="0.2">
      <c r="B322"/>
      <c r="C322" s="97"/>
    </row>
    <row r="323" spans="2:3" ht="15.75" customHeight="1" x14ac:dyDescent="0.2">
      <c r="B323"/>
      <c r="C323" s="97"/>
    </row>
    <row r="324" spans="2:3" ht="15.75" customHeight="1" x14ac:dyDescent="0.2">
      <c r="B324"/>
      <c r="C324" s="97"/>
    </row>
    <row r="325" spans="2:3" ht="15.75" customHeight="1" x14ac:dyDescent="0.2">
      <c r="B325"/>
      <c r="C325" s="97"/>
    </row>
    <row r="326" spans="2:3" ht="15.75" customHeight="1" x14ac:dyDescent="0.2">
      <c r="B326"/>
      <c r="C326" s="97"/>
    </row>
    <row r="327" spans="2:3" ht="15.75" customHeight="1" x14ac:dyDescent="0.2">
      <c r="B327"/>
      <c r="C327" s="97"/>
    </row>
    <row r="328" spans="2:3" ht="15.75" customHeight="1" x14ac:dyDescent="0.2">
      <c r="B328"/>
      <c r="C328" s="97"/>
    </row>
    <row r="329" spans="2:3" ht="15.75" customHeight="1" x14ac:dyDescent="0.2">
      <c r="B329"/>
      <c r="C329" s="97"/>
    </row>
    <row r="330" spans="2:3" ht="15.75" customHeight="1" x14ac:dyDescent="0.2">
      <c r="B330"/>
      <c r="C330" s="97"/>
    </row>
    <row r="331" spans="2:3" ht="15.75" customHeight="1" x14ac:dyDescent="0.2">
      <c r="B331"/>
      <c r="C331" s="97"/>
    </row>
    <row r="332" spans="2:3" ht="15.75" customHeight="1" x14ac:dyDescent="0.2">
      <c r="B332"/>
      <c r="C332" s="97"/>
    </row>
    <row r="333" spans="2:3" ht="15.75" customHeight="1" x14ac:dyDescent="0.2">
      <c r="B333"/>
      <c r="C333" s="97"/>
    </row>
    <row r="334" spans="2:3" ht="15.75" customHeight="1" x14ac:dyDescent="0.2">
      <c r="B334"/>
      <c r="C334" s="97"/>
    </row>
    <row r="335" spans="2:3" ht="15.75" customHeight="1" x14ac:dyDescent="0.2">
      <c r="B335"/>
      <c r="C335" s="97"/>
    </row>
    <row r="336" spans="2:3" ht="15.75" customHeight="1" x14ac:dyDescent="0.2">
      <c r="B336"/>
      <c r="C336" s="97"/>
    </row>
    <row r="337" spans="2:3" ht="15.75" customHeight="1" x14ac:dyDescent="0.2">
      <c r="B337"/>
      <c r="C337" s="97"/>
    </row>
    <row r="338" spans="2:3" ht="15.75" customHeight="1" x14ac:dyDescent="0.2">
      <c r="B338"/>
      <c r="C338" s="97"/>
    </row>
    <row r="339" spans="2:3" ht="15.75" customHeight="1" x14ac:dyDescent="0.2">
      <c r="B339"/>
      <c r="C339" s="97"/>
    </row>
    <row r="340" spans="2:3" ht="15.75" customHeight="1" x14ac:dyDescent="0.2">
      <c r="B340"/>
      <c r="C340" s="97"/>
    </row>
    <row r="341" spans="2:3" ht="15.75" customHeight="1" x14ac:dyDescent="0.2">
      <c r="B341"/>
      <c r="C341" s="97"/>
    </row>
    <row r="342" spans="2:3" ht="15.75" customHeight="1" x14ac:dyDescent="0.2">
      <c r="B342"/>
      <c r="C342" s="97"/>
    </row>
    <row r="343" spans="2:3" ht="15.75" customHeight="1" x14ac:dyDescent="0.2">
      <c r="B343"/>
      <c r="C343" s="97"/>
    </row>
    <row r="344" spans="2:3" ht="15.75" customHeight="1" x14ac:dyDescent="0.2">
      <c r="B344"/>
      <c r="C344" s="97"/>
    </row>
    <row r="345" spans="2:3" ht="15.75" customHeight="1" x14ac:dyDescent="0.2">
      <c r="B345"/>
      <c r="C345" s="97"/>
    </row>
    <row r="346" spans="2:3" ht="15.75" customHeight="1" x14ac:dyDescent="0.2">
      <c r="B346"/>
      <c r="C346" s="97"/>
    </row>
    <row r="347" spans="2:3" ht="15.75" customHeight="1" x14ac:dyDescent="0.2">
      <c r="B347"/>
      <c r="C347" s="97"/>
    </row>
    <row r="348" spans="2:3" ht="15.75" customHeight="1" x14ac:dyDescent="0.2">
      <c r="B348"/>
      <c r="C348" s="97"/>
    </row>
    <row r="349" spans="2:3" ht="15.75" customHeight="1" x14ac:dyDescent="0.2">
      <c r="B349"/>
      <c r="C349" s="97"/>
    </row>
    <row r="350" spans="2:3" ht="15.75" customHeight="1" x14ac:dyDescent="0.2">
      <c r="B350"/>
      <c r="C350" s="97"/>
    </row>
    <row r="351" spans="2:3" ht="15.75" customHeight="1" x14ac:dyDescent="0.2">
      <c r="B351"/>
      <c r="C351" s="97"/>
    </row>
    <row r="352" spans="2:3" ht="15.75" customHeight="1" x14ac:dyDescent="0.2">
      <c r="B352"/>
      <c r="C352" s="97"/>
    </row>
    <row r="353" spans="2:3" ht="15.75" customHeight="1" x14ac:dyDescent="0.2">
      <c r="B353"/>
      <c r="C353" s="97"/>
    </row>
    <row r="354" spans="2:3" ht="15.75" customHeight="1" x14ac:dyDescent="0.2">
      <c r="B354"/>
      <c r="C354" s="97"/>
    </row>
    <row r="355" spans="2:3" ht="15.75" customHeight="1" x14ac:dyDescent="0.2">
      <c r="B355"/>
      <c r="C355" s="97"/>
    </row>
    <row r="356" spans="2:3" ht="15.75" customHeight="1" x14ac:dyDescent="0.2">
      <c r="B356"/>
      <c r="C356" s="97"/>
    </row>
    <row r="357" spans="2:3" ht="15.75" customHeight="1" x14ac:dyDescent="0.2">
      <c r="B357"/>
      <c r="C357" s="97"/>
    </row>
    <row r="358" spans="2:3" ht="15.75" customHeight="1" x14ac:dyDescent="0.2">
      <c r="B358"/>
      <c r="C358" s="97"/>
    </row>
    <row r="359" spans="2:3" ht="15.75" customHeight="1" x14ac:dyDescent="0.2">
      <c r="B359"/>
      <c r="C359" s="97"/>
    </row>
    <row r="360" spans="2:3" ht="15.75" customHeight="1" x14ac:dyDescent="0.2">
      <c r="B360"/>
      <c r="C360" s="97"/>
    </row>
    <row r="361" spans="2:3" ht="15.75" customHeight="1" x14ac:dyDescent="0.2">
      <c r="B361"/>
      <c r="C361" s="97"/>
    </row>
    <row r="362" spans="2:3" ht="15.75" customHeight="1" x14ac:dyDescent="0.2">
      <c r="B362"/>
      <c r="C362" s="97"/>
    </row>
    <row r="363" spans="2:3" ht="15.75" customHeight="1" x14ac:dyDescent="0.2">
      <c r="B363"/>
      <c r="C363" s="97"/>
    </row>
    <row r="364" spans="2:3" ht="15.75" customHeight="1" x14ac:dyDescent="0.2">
      <c r="B364"/>
      <c r="C364" s="97"/>
    </row>
    <row r="365" spans="2:3" ht="15.75" customHeight="1" x14ac:dyDescent="0.2">
      <c r="B365"/>
      <c r="C365" s="97"/>
    </row>
    <row r="366" spans="2:3" ht="15.75" customHeight="1" x14ac:dyDescent="0.2">
      <c r="B366"/>
      <c r="C366" s="97"/>
    </row>
    <row r="367" spans="2:3" ht="15.75" customHeight="1" x14ac:dyDescent="0.2">
      <c r="B367"/>
      <c r="C367" s="97"/>
    </row>
    <row r="368" spans="2:3" ht="15.75" customHeight="1" x14ac:dyDescent="0.2">
      <c r="B368"/>
      <c r="C368" s="97"/>
    </row>
    <row r="369" spans="2:3" ht="15.75" customHeight="1" x14ac:dyDescent="0.2">
      <c r="B369"/>
      <c r="C369" s="97"/>
    </row>
    <row r="370" spans="2:3" ht="15.75" customHeight="1" x14ac:dyDescent="0.2">
      <c r="B370"/>
      <c r="C370" s="97"/>
    </row>
    <row r="371" spans="2:3" ht="15.75" customHeight="1" x14ac:dyDescent="0.2">
      <c r="B371"/>
      <c r="C371" s="97"/>
    </row>
    <row r="372" spans="2:3" ht="15.75" customHeight="1" x14ac:dyDescent="0.2">
      <c r="B372"/>
      <c r="C372" s="97"/>
    </row>
    <row r="373" spans="2:3" ht="15.75" customHeight="1" x14ac:dyDescent="0.2">
      <c r="B373"/>
      <c r="C373" s="97"/>
    </row>
    <row r="374" spans="2:3" ht="15.75" customHeight="1" x14ac:dyDescent="0.2">
      <c r="B374"/>
      <c r="C374" s="97"/>
    </row>
    <row r="375" spans="2:3" ht="15.75" customHeight="1" x14ac:dyDescent="0.2">
      <c r="B375"/>
      <c r="C375" s="97"/>
    </row>
    <row r="376" spans="2:3" ht="15.75" customHeight="1" x14ac:dyDescent="0.2">
      <c r="B376"/>
      <c r="C376" s="97"/>
    </row>
    <row r="377" spans="2:3" ht="15.75" customHeight="1" x14ac:dyDescent="0.2">
      <c r="B377"/>
      <c r="C377" s="97"/>
    </row>
    <row r="378" spans="2:3" ht="15.75" customHeight="1" x14ac:dyDescent="0.2">
      <c r="B378"/>
      <c r="C378" s="97"/>
    </row>
    <row r="379" spans="2:3" ht="15.75" customHeight="1" x14ac:dyDescent="0.2">
      <c r="B379"/>
      <c r="C379" s="97"/>
    </row>
    <row r="380" spans="2:3" ht="15.75" customHeight="1" x14ac:dyDescent="0.2">
      <c r="B380"/>
      <c r="C380" s="97"/>
    </row>
    <row r="381" spans="2:3" ht="15.75" customHeight="1" x14ac:dyDescent="0.2">
      <c r="B381"/>
      <c r="C381" s="97"/>
    </row>
    <row r="382" spans="2:3" ht="15.75" customHeight="1" x14ac:dyDescent="0.2">
      <c r="B382"/>
      <c r="C382" s="97"/>
    </row>
    <row r="383" spans="2:3" ht="15.75" customHeight="1" x14ac:dyDescent="0.2">
      <c r="B383"/>
      <c r="C383" s="97"/>
    </row>
    <row r="384" spans="2:3" ht="15.75" customHeight="1" x14ac:dyDescent="0.2">
      <c r="B384"/>
      <c r="C384" s="97"/>
    </row>
    <row r="385" spans="2:3" ht="15.75" customHeight="1" x14ac:dyDescent="0.2">
      <c r="B385"/>
      <c r="C385" s="97"/>
    </row>
    <row r="386" spans="2:3" ht="15.75" customHeight="1" x14ac:dyDescent="0.2">
      <c r="B386"/>
      <c r="C386" s="97"/>
    </row>
    <row r="387" spans="2:3" ht="15.75" customHeight="1" x14ac:dyDescent="0.2">
      <c r="B387"/>
      <c r="C387" s="97"/>
    </row>
    <row r="388" spans="2:3" ht="15.75" customHeight="1" x14ac:dyDescent="0.2">
      <c r="B388"/>
      <c r="C388" s="97"/>
    </row>
    <row r="389" spans="2:3" ht="15.75" customHeight="1" x14ac:dyDescent="0.2">
      <c r="B389"/>
      <c r="C389" s="97"/>
    </row>
    <row r="390" spans="2:3" ht="15.75" customHeight="1" x14ac:dyDescent="0.2">
      <c r="B390"/>
      <c r="C390" s="97"/>
    </row>
    <row r="391" spans="2:3" ht="15.75" customHeight="1" x14ac:dyDescent="0.2">
      <c r="B391"/>
      <c r="C391" s="97"/>
    </row>
    <row r="392" spans="2:3" ht="15.75" customHeight="1" x14ac:dyDescent="0.2">
      <c r="B392"/>
      <c r="C392" s="97"/>
    </row>
    <row r="393" spans="2:3" ht="15.75" customHeight="1" x14ac:dyDescent="0.2">
      <c r="B393"/>
      <c r="C393" s="97"/>
    </row>
    <row r="394" spans="2:3" ht="15.75" customHeight="1" x14ac:dyDescent="0.2">
      <c r="B394"/>
      <c r="C394" s="97"/>
    </row>
    <row r="395" spans="2:3" ht="15.75" customHeight="1" x14ac:dyDescent="0.2">
      <c r="B395"/>
      <c r="C395" s="97"/>
    </row>
    <row r="396" spans="2:3" ht="15.75" customHeight="1" x14ac:dyDescent="0.2">
      <c r="B396"/>
      <c r="C396" s="97"/>
    </row>
    <row r="397" spans="2:3" ht="15.75" customHeight="1" x14ac:dyDescent="0.2">
      <c r="B397"/>
      <c r="C397" s="97"/>
    </row>
    <row r="398" spans="2:3" ht="15.75" customHeight="1" x14ac:dyDescent="0.2">
      <c r="B398"/>
      <c r="C398" s="97"/>
    </row>
    <row r="399" spans="2:3" ht="15.75" customHeight="1" x14ac:dyDescent="0.2">
      <c r="B399"/>
      <c r="C399" s="97"/>
    </row>
    <row r="400" spans="2:3" ht="15.75" customHeight="1" x14ac:dyDescent="0.2">
      <c r="B400"/>
      <c r="C400" s="97"/>
    </row>
    <row r="401" spans="2:3" ht="15.75" customHeight="1" x14ac:dyDescent="0.2">
      <c r="B401"/>
      <c r="C401" s="97"/>
    </row>
    <row r="402" spans="2:3" ht="15.75" customHeight="1" x14ac:dyDescent="0.2">
      <c r="B402"/>
      <c r="C402" s="97"/>
    </row>
    <row r="403" spans="2:3" ht="15.75" customHeight="1" x14ac:dyDescent="0.2">
      <c r="B403"/>
      <c r="C403" s="97"/>
    </row>
    <row r="404" spans="2:3" ht="15.75" customHeight="1" x14ac:dyDescent="0.2">
      <c r="B404"/>
      <c r="C404" s="97"/>
    </row>
    <row r="405" spans="2:3" ht="15.75" customHeight="1" x14ac:dyDescent="0.2">
      <c r="B405"/>
      <c r="C405" s="97"/>
    </row>
    <row r="406" spans="2:3" ht="15.75" customHeight="1" x14ac:dyDescent="0.2">
      <c r="B406"/>
      <c r="C406" s="97"/>
    </row>
    <row r="407" spans="2:3" ht="15.75" customHeight="1" x14ac:dyDescent="0.2">
      <c r="B407"/>
      <c r="C407" s="97"/>
    </row>
    <row r="408" spans="2:3" ht="15.75" customHeight="1" x14ac:dyDescent="0.2">
      <c r="B408"/>
      <c r="C408" s="97"/>
    </row>
    <row r="409" spans="2:3" ht="15.75" customHeight="1" x14ac:dyDescent="0.2">
      <c r="B409"/>
      <c r="C409" s="97"/>
    </row>
    <row r="410" spans="2:3" ht="15.75" customHeight="1" x14ac:dyDescent="0.2">
      <c r="B410"/>
      <c r="C410" s="97"/>
    </row>
    <row r="411" spans="2:3" ht="15.75" customHeight="1" x14ac:dyDescent="0.2">
      <c r="B411"/>
      <c r="C411" s="97"/>
    </row>
    <row r="412" spans="2:3" ht="15.75" customHeight="1" x14ac:dyDescent="0.2">
      <c r="B412"/>
      <c r="C412" s="97"/>
    </row>
    <row r="413" spans="2:3" ht="15.75" customHeight="1" x14ac:dyDescent="0.2">
      <c r="B413"/>
      <c r="C413" s="97"/>
    </row>
    <row r="414" spans="2:3" ht="15.75" customHeight="1" x14ac:dyDescent="0.2">
      <c r="B414"/>
      <c r="C414" s="97"/>
    </row>
    <row r="415" spans="2:3" ht="15.75" customHeight="1" x14ac:dyDescent="0.2">
      <c r="B415"/>
      <c r="C415" s="97"/>
    </row>
    <row r="416" spans="2:3" ht="15.75" customHeight="1" x14ac:dyDescent="0.2">
      <c r="B416"/>
      <c r="C416" s="97"/>
    </row>
    <row r="417" spans="2:3" ht="15.75" customHeight="1" x14ac:dyDescent="0.2">
      <c r="B417"/>
      <c r="C417" s="97"/>
    </row>
    <row r="418" spans="2:3" ht="15.75" customHeight="1" x14ac:dyDescent="0.2">
      <c r="B418"/>
      <c r="C418" s="97"/>
    </row>
    <row r="419" spans="2:3" ht="15.75" customHeight="1" x14ac:dyDescent="0.2">
      <c r="B419"/>
      <c r="C419" s="97"/>
    </row>
    <row r="420" spans="2:3" ht="15.75" customHeight="1" x14ac:dyDescent="0.2">
      <c r="B420"/>
      <c r="C420" s="97"/>
    </row>
    <row r="421" spans="2:3" ht="15.75" customHeight="1" x14ac:dyDescent="0.2">
      <c r="B421"/>
      <c r="C421" s="97"/>
    </row>
    <row r="422" spans="2:3" ht="15.75" customHeight="1" x14ac:dyDescent="0.2">
      <c r="B422"/>
      <c r="C422" s="97"/>
    </row>
    <row r="423" spans="2:3" ht="15.75" customHeight="1" x14ac:dyDescent="0.2">
      <c r="B423"/>
      <c r="C423" s="97"/>
    </row>
    <row r="424" spans="2:3" ht="15.75" customHeight="1" x14ac:dyDescent="0.2">
      <c r="B424"/>
      <c r="C424" s="97"/>
    </row>
    <row r="425" spans="2:3" ht="15.75" customHeight="1" x14ac:dyDescent="0.2">
      <c r="B425"/>
      <c r="C425" s="97"/>
    </row>
    <row r="426" spans="2:3" ht="15.75" customHeight="1" x14ac:dyDescent="0.2">
      <c r="B426"/>
      <c r="C426" s="97"/>
    </row>
    <row r="427" spans="2:3" ht="15.75" customHeight="1" x14ac:dyDescent="0.2">
      <c r="B427"/>
      <c r="C427" s="97"/>
    </row>
    <row r="428" spans="2:3" ht="15.75" customHeight="1" x14ac:dyDescent="0.2">
      <c r="B428"/>
      <c r="C428" s="97"/>
    </row>
    <row r="429" spans="2:3" ht="15.75" customHeight="1" x14ac:dyDescent="0.2">
      <c r="B429"/>
      <c r="C429" s="97"/>
    </row>
    <row r="430" spans="2:3" ht="15.75" customHeight="1" x14ac:dyDescent="0.2">
      <c r="B430"/>
      <c r="C430" s="97"/>
    </row>
    <row r="431" spans="2:3" ht="15.75" customHeight="1" x14ac:dyDescent="0.2">
      <c r="B431"/>
      <c r="C431" s="97"/>
    </row>
    <row r="432" spans="2:3" ht="15.75" customHeight="1" x14ac:dyDescent="0.2">
      <c r="B432"/>
      <c r="C432" s="97"/>
    </row>
    <row r="433" spans="2:3" ht="15.75" customHeight="1" x14ac:dyDescent="0.2">
      <c r="B433"/>
      <c r="C433" s="97"/>
    </row>
    <row r="434" spans="2:3" ht="15.75" customHeight="1" x14ac:dyDescent="0.2">
      <c r="B434"/>
      <c r="C434" s="97"/>
    </row>
    <row r="435" spans="2:3" ht="15.75" customHeight="1" x14ac:dyDescent="0.2">
      <c r="B435"/>
      <c r="C435" s="97"/>
    </row>
    <row r="436" spans="2:3" ht="15.75" customHeight="1" x14ac:dyDescent="0.2">
      <c r="B436"/>
      <c r="C436" s="97"/>
    </row>
    <row r="437" spans="2:3" ht="15.75" customHeight="1" x14ac:dyDescent="0.2">
      <c r="B437"/>
      <c r="C437" s="97"/>
    </row>
    <row r="438" spans="2:3" ht="15.75" customHeight="1" x14ac:dyDescent="0.2">
      <c r="B438"/>
      <c r="C438" s="97"/>
    </row>
    <row r="439" spans="2:3" ht="15.75" customHeight="1" x14ac:dyDescent="0.2">
      <c r="B439"/>
      <c r="C439" s="97"/>
    </row>
    <row r="440" spans="2:3" ht="15.75" customHeight="1" x14ac:dyDescent="0.2">
      <c r="B440"/>
      <c r="C440" s="97"/>
    </row>
    <row r="441" spans="2:3" ht="15.75" customHeight="1" x14ac:dyDescent="0.2">
      <c r="B441"/>
      <c r="C441" s="97"/>
    </row>
    <row r="442" spans="2:3" ht="15.75" customHeight="1" x14ac:dyDescent="0.2">
      <c r="B442"/>
      <c r="C442" s="97"/>
    </row>
    <row r="443" spans="2:3" ht="15.75" customHeight="1" x14ac:dyDescent="0.2">
      <c r="B443"/>
      <c r="C443" s="97"/>
    </row>
    <row r="444" spans="2:3" ht="15.75" customHeight="1" x14ac:dyDescent="0.2">
      <c r="B444"/>
      <c r="C444" s="97"/>
    </row>
    <row r="445" spans="2:3" ht="15.75" customHeight="1" x14ac:dyDescent="0.2">
      <c r="B445"/>
      <c r="C445" s="97"/>
    </row>
    <row r="446" spans="2:3" ht="15.75" customHeight="1" x14ac:dyDescent="0.2">
      <c r="B446"/>
      <c r="C446" s="97"/>
    </row>
    <row r="447" spans="2:3" ht="15.75" customHeight="1" x14ac:dyDescent="0.2">
      <c r="B447"/>
      <c r="C447" s="97"/>
    </row>
    <row r="448" spans="2:3" ht="15.75" customHeight="1" x14ac:dyDescent="0.2">
      <c r="B448"/>
      <c r="C448" s="97"/>
    </row>
    <row r="449" spans="2:3" ht="15.75" customHeight="1" x14ac:dyDescent="0.2">
      <c r="B449"/>
      <c r="C449" s="97"/>
    </row>
    <row r="450" spans="2:3" ht="15.75" customHeight="1" x14ac:dyDescent="0.2">
      <c r="B450"/>
      <c r="C450" s="97"/>
    </row>
    <row r="451" spans="2:3" ht="15.75" customHeight="1" x14ac:dyDescent="0.2">
      <c r="B451"/>
      <c r="C451" s="97"/>
    </row>
    <row r="452" spans="2:3" ht="15.75" customHeight="1" x14ac:dyDescent="0.2">
      <c r="B452"/>
      <c r="C452" s="97"/>
    </row>
    <row r="453" spans="2:3" ht="15.75" customHeight="1" x14ac:dyDescent="0.2">
      <c r="B453"/>
      <c r="C453" s="97"/>
    </row>
    <row r="454" spans="2:3" ht="15.75" customHeight="1" x14ac:dyDescent="0.2">
      <c r="B454"/>
      <c r="C454" s="97"/>
    </row>
    <row r="455" spans="2:3" ht="15.75" customHeight="1" x14ac:dyDescent="0.2">
      <c r="B455"/>
      <c r="C455" s="97"/>
    </row>
    <row r="456" spans="2:3" ht="15.75" customHeight="1" x14ac:dyDescent="0.2">
      <c r="B456"/>
      <c r="C456" s="97"/>
    </row>
    <row r="457" spans="2:3" ht="15.75" customHeight="1" x14ac:dyDescent="0.2">
      <c r="B457"/>
      <c r="C457" s="97"/>
    </row>
    <row r="458" spans="2:3" ht="15.75" customHeight="1" x14ac:dyDescent="0.2">
      <c r="B458"/>
      <c r="C458" s="97"/>
    </row>
    <row r="459" spans="2:3" ht="15.75" customHeight="1" x14ac:dyDescent="0.2">
      <c r="B459"/>
      <c r="C459" s="97"/>
    </row>
    <row r="460" spans="2:3" ht="15.75" customHeight="1" x14ac:dyDescent="0.2">
      <c r="B460"/>
      <c r="C460" s="97"/>
    </row>
    <row r="461" spans="2:3" ht="15.75" customHeight="1" x14ac:dyDescent="0.2">
      <c r="B461"/>
      <c r="C461" s="97"/>
    </row>
    <row r="462" spans="2:3" ht="15.75" customHeight="1" x14ac:dyDescent="0.2">
      <c r="B462"/>
      <c r="C462" s="97"/>
    </row>
    <row r="463" spans="2:3" ht="15.75" customHeight="1" x14ac:dyDescent="0.2">
      <c r="B463"/>
      <c r="C463" s="97"/>
    </row>
    <row r="464" spans="2:3" ht="15.75" customHeight="1" x14ac:dyDescent="0.2">
      <c r="B464"/>
      <c r="C464" s="97"/>
    </row>
    <row r="465" spans="2:3" ht="15.75" customHeight="1" x14ac:dyDescent="0.2">
      <c r="B465"/>
      <c r="C465" s="97"/>
    </row>
    <row r="466" spans="2:3" ht="15.75" customHeight="1" x14ac:dyDescent="0.2">
      <c r="B466"/>
      <c r="C466" s="97"/>
    </row>
    <row r="467" spans="2:3" ht="15.75" customHeight="1" x14ac:dyDescent="0.2">
      <c r="B467"/>
      <c r="C467" s="97"/>
    </row>
    <row r="468" spans="2:3" ht="15.75" customHeight="1" x14ac:dyDescent="0.2">
      <c r="B468"/>
      <c r="C468" s="97"/>
    </row>
    <row r="469" spans="2:3" ht="15.75" customHeight="1" x14ac:dyDescent="0.2">
      <c r="B469"/>
      <c r="C469" s="97"/>
    </row>
    <row r="470" spans="2:3" ht="15.75" customHeight="1" x14ac:dyDescent="0.2">
      <c r="B470"/>
      <c r="C470" s="97"/>
    </row>
    <row r="471" spans="2:3" ht="15.75" customHeight="1" x14ac:dyDescent="0.2">
      <c r="B471"/>
      <c r="C471" s="97"/>
    </row>
    <row r="472" spans="2:3" ht="15.75" customHeight="1" x14ac:dyDescent="0.2">
      <c r="B472"/>
      <c r="C472" s="97"/>
    </row>
    <row r="473" spans="2:3" ht="15.75" customHeight="1" x14ac:dyDescent="0.2">
      <c r="B473"/>
      <c r="C473" s="97"/>
    </row>
    <row r="474" spans="2:3" ht="15.75" customHeight="1" x14ac:dyDescent="0.2">
      <c r="B474"/>
      <c r="C474" s="97"/>
    </row>
    <row r="475" spans="2:3" ht="15.75" customHeight="1" x14ac:dyDescent="0.2">
      <c r="B475"/>
      <c r="C475" s="97"/>
    </row>
    <row r="476" spans="2:3" ht="15.75" customHeight="1" x14ac:dyDescent="0.2">
      <c r="B476"/>
      <c r="C476" s="97"/>
    </row>
    <row r="477" spans="2:3" ht="15.75" customHeight="1" x14ac:dyDescent="0.2">
      <c r="B477"/>
      <c r="C477" s="97"/>
    </row>
    <row r="478" spans="2:3" ht="15.75" customHeight="1" x14ac:dyDescent="0.2">
      <c r="B478"/>
      <c r="C478" s="97"/>
    </row>
    <row r="479" spans="2:3" ht="15.75" customHeight="1" x14ac:dyDescent="0.2">
      <c r="B479"/>
      <c r="C479" s="97"/>
    </row>
    <row r="480" spans="2:3" ht="15.75" customHeight="1" x14ac:dyDescent="0.2">
      <c r="B480"/>
      <c r="C480" s="97"/>
    </row>
    <row r="481" spans="2:3" ht="15.75" customHeight="1" x14ac:dyDescent="0.2">
      <c r="B481"/>
      <c r="C481" s="97"/>
    </row>
    <row r="482" spans="2:3" ht="15.75" customHeight="1" x14ac:dyDescent="0.2">
      <c r="B482"/>
      <c r="C482" s="97"/>
    </row>
    <row r="483" spans="2:3" ht="15.75" customHeight="1" x14ac:dyDescent="0.2">
      <c r="B483"/>
      <c r="C483" s="97"/>
    </row>
    <row r="484" spans="2:3" ht="15.75" customHeight="1" x14ac:dyDescent="0.2">
      <c r="B484"/>
      <c r="C484" s="97"/>
    </row>
    <row r="485" spans="2:3" ht="15.75" customHeight="1" x14ac:dyDescent="0.2">
      <c r="B485"/>
      <c r="C485" s="97"/>
    </row>
    <row r="486" spans="2:3" ht="15.75" customHeight="1" x14ac:dyDescent="0.2">
      <c r="B486"/>
      <c r="C486" s="97"/>
    </row>
    <row r="487" spans="2:3" ht="15.75" customHeight="1" x14ac:dyDescent="0.2">
      <c r="B487"/>
      <c r="C487" s="97"/>
    </row>
    <row r="488" spans="2:3" ht="15.75" customHeight="1" x14ac:dyDescent="0.2">
      <c r="B488"/>
      <c r="C488" s="97"/>
    </row>
    <row r="489" spans="2:3" ht="15.75" customHeight="1" x14ac:dyDescent="0.2">
      <c r="B489"/>
      <c r="C489" s="97"/>
    </row>
    <row r="490" spans="2:3" ht="15.75" customHeight="1" x14ac:dyDescent="0.2">
      <c r="B490"/>
      <c r="C490" s="97"/>
    </row>
    <row r="491" spans="2:3" ht="15.75" customHeight="1" x14ac:dyDescent="0.2">
      <c r="B491"/>
      <c r="C491" s="97"/>
    </row>
    <row r="492" spans="2:3" ht="15.75" customHeight="1" x14ac:dyDescent="0.2">
      <c r="B492"/>
      <c r="C492" s="97"/>
    </row>
    <row r="493" spans="2:3" ht="15.75" customHeight="1" x14ac:dyDescent="0.2">
      <c r="B493"/>
      <c r="C493" s="97"/>
    </row>
    <row r="494" spans="2:3" ht="15.75" customHeight="1" x14ac:dyDescent="0.2">
      <c r="B494"/>
      <c r="C494" s="97"/>
    </row>
    <row r="495" spans="2:3" ht="15.75" customHeight="1" x14ac:dyDescent="0.2">
      <c r="B495"/>
      <c r="C495" s="97"/>
    </row>
    <row r="496" spans="2:3" ht="15.75" customHeight="1" x14ac:dyDescent="0.2">
      <c r="B496"/>
      <c r="C496" s="97"/>
    </row>
    <row r="497" spans="2:3" ht="15.75" customHeight="1" x14ac:dyDescent="0.2">
      <c r="B497"/>
      <c r="C497" s="97"/>
    </row>
    <row r="498" spans="2:3" ht="15.75" customHeight="1" x14ac:dyDescent="0.2">
      <c r="B498"/>
      <c r="C498" s="97"/>
    </row>
    <row r="499" spans="2:3" ht="15.75" customHeight="1" x14ac:dyDescent="0.2">
      <c r="B499"/>
      <c r="C499" s="97"/>
    </row>
    <row r="500" spans="2:3" ht="15.75" customHeight="1" x14ac:dyDescent="0.2">
      <c r="B500"/>
      <c r="C500" s="97"/>
    </row>
    <row r="501" spans="2:3" ht="15.75" customHeight="1" x14ac:dyDescent="0.2">
      <c r="B501"/>
      <c r="C501" s="97"/>
    </row>
    <row r="502" spans="2:3" ht="15.75" customHeight="1" x14ac:dyDescent="0.2">
      <c r="B502"/>
      <c r="C502" s="97"/>
    </row>
    <row r="503" spans="2:3" ht="15.75" customHeight="1" x14ac:dyDescent="0.2">
      <c r="B503"/>
      <c r="C503" s="97"/>
    </row>
    <row r="504" spans="2:3" ht="15.75" customHeight="1" x14ac:dyDescent="0.2">
      <c r="B504"/>
      <c r="C504" s="97"/>
    </row>
    <row r="505" spans="2:3" ht="15.75" customHeight="1" x14ac:dyDescent="0.2">
      <c r="B505"/>
      <c r="C505" s="97"/>
    </row>
    <row r="506" spans="2:3" ht="15.75" customHeight="1" x14ac:dyDescent="0.2">
      <c r="B506"/>
      <c r="C506" s="97"/>
    </row>
    <row r="507" spans="2:3" ht="15.75" customHeight="1" x14ac:dyDescent="0.2">
      <c r="B507"/>
      <c r="C507" s="97"/>
    </row>
    <row r="508" spans="2:3" ht="15.75" customHeight="1" x14ac:dyDescent="0.2">
      <c r="B508"/>
      <c r="C508" s="97"/>
    </row>
    <row r="509" spans="2:3" ht="15.75" customHeight="1" x14ac:dyDescent="0.2">
      <c r="B509"/>
      <c r="C509" s="97"/>
    </row>
    <row r="510" spans="2:3" ht="15.75" customHeight="1" x14ac:dyDescent="0.2">
      <c r="B510"/>
      <c r="C510" s="97"/>
    </row>
    <row r="511" spans="2:3" ht="15.75" customHeight="1" x14ac:dyDescent="0.2">
      <c r="B511"/>
      <c r="C511" s="97"/>
    </row>
    <row r="512" spans="2:3" ht="15.75" customHeight="1" x14ac:dyDescent="0.2">
      <c r="B512"/>
      <c r="C512" s="97"/>
    </row>
    <row r="513" spans="2:3" ht="15.75" customHeight="1" x14ac:dyDescent="0.2">
      <c r="B513"/>
      <c r="C513" s="97"/>
    </row>
    <row r="514" spans="2:3" ht="15.75" customHeight="1" x14ac:dyDescent="0.2">
      <c r="B514"/>
      <c r="C514" s="97"/>
    </row>
    <row r="515" spans="2:3" ht="15.75" customHeight="1" x14ac:dyDescent="0.2">
      <c r="B515"/>
      <c r="C515" s="97"/>
    </row>
    <row r="516" spans="2:3" ht="15.75" customHeight="1" x14ac:dyDescent="0.2">
      <c r="B516"/>
      <c r="C516" s="97"/>
    </row>
    <row r="517" spans="2:3" ht="15.75" customHeight="1" x14ac:dyDescent="0.2">
      <c r="B517"/>
      <c r="C517" s="97"/>
    </row>
    <row r="518" spans="2:3" ht="15.75" customHeight="1" x14ac:dyDescent="0.2">
      <c r="B518"/>
      <c r="C518" s="97"/>
    </row>
    <row r="519" spans="2:3" ht="15.75" customHeight="1" x14ac:dyDescent="0.2">
      <c r="B519"/>
      <c r="C519" s="97"/>
    </row>
    <row r="520" spans="2:3" ht="15.75" customHeight="1" x14ac:dyDescent="0.2">
      <c r="B520"/>
      <c r="C520" s="97"/>
    </row>
    <row r="521" spans="2:3" ht="15.75" customHeight="1" x14ac:dyDescent="0.2">
      <c r="B521"/>
      <c r="C521" s="97"/>
    </row>
    <row r="522" spans="2:3" ht="15.75" customHeight="1" x14ac:dyDescent="0.2">
      <c r="B522"/>
      <c r="C522" s="97"/>
    </row>
    <row r="523" spans="2:3" ht="15.75" customHeight="1" x14ac:dyDescent="0.2">
      <c r="B523"/>
      <c r="C523" s="97"/>
    </row>
    <row r="524" spans="2:3" ht="15.75" customHeight="1" x14ac:dyDescent="0.2">
      <c r="B524"/>
      <c r="C524" s="97"/>
    </row>
    <row r="525" spans="2:3" ht="15.75" customHeight="1" x14ac:dyDescent="0.2">
      <c r="B525"/>
      <c r="C525" s="97"/>
    </row>
    <row r="526" spans="2:3" ht="15.75" customHeight="1" x14ac:dyDescent="0.2">
      <c r="B526"/>
      <c r="C526" s="97"/>
    </row>
    <row r="527" spans="2:3" ht="15.75" customHeight="1" x14ac:dyDescent="0.2">
      <c r="B527"/>
      <c r="C527" s="97"/>
    </row>
    <row r="528" spans="2:3" ht="15.75" customHeight="1" x14ac:dyDescent="0.2">
      <c r="B528"/>
      <c r="C528" s="97"/>
    </row>
    <row r="529" spans="2:3" ht="15.75" customHeight="1" x14ac:dyDescent="0.2">
      <c r="B529"/>
      <c r="C529" s="97"/>
    </row>
    <row r="530" spans="2:3" ht="15.75" customHeight="1" x14ac:dyDescent="0.2">
      <c r="B530"/>
      <c r="C530" s="97"/>
    </row>
    <row r="531" spans="2:3" ht="15.75" customHeight="1" x14ac:dyDescent="0.2">
      <c r="B531"/>
      <c r="C531" s="97"/>
    </row>
    <row r="532" spans="2:3" ht="15.75" customHeight="1" x14ac:dyDescent="0.2">
      <c r="B532"/>
      <c r="C532" s="97"/>
    </row>
    <row r="533" spans="2:3" ht="15.75" customHeight="1" x14ac:dyDescent="0.2">
      <c r="B533"/>
      <c r="C533" s="97"/>
    </row>
    <row r="534" spans="2:3" ht="15.75" customHeight="1" x14ac:dyDescent="0.2">
      <c r="B534"/>
      <c r="C534" s="97"/>
    </row>
    <row r="535" spans="2:3" ht="15.75" customHeight="1" x14ac:dyDescent="0.2">
      <c r="B535"/>
      <c r="C535" s="97"/>
    </row>
    <row r="536" spans="2:3" ht="15.75" customHeight="1" x14ac:dyDescent="0.2">
      <c r="B536"/>
      <c r="C536" s="97"/>
    </row>
    <row r="537" spans="2:3" ht="15.75" customHeight="1" x14ac:dyDescent="0.2">
      <c r="B537"/>
      <c r="C537" s="97"/>
    </row>
    <row r="538" spans="2:3" ht="15.75" customHeight="1" x14ac:dyDescent="0.2">
      <c r="B538"/>
      <c r="C538" s="97"/>
    </row>
    <row r="539" spans="2:3" ht="15.75" customHeight="1" x14ac:dyDescent="0.2">
      <c r="B539"/>
      <c r="C539" s="97"/>
    </row>
    <row r="540" spans="2:3" ht="15.75" customHeight="1" x14ac:dyDescent="0.2">
      <c r="B540"/>
      <c r="C540" s="97"/>
    </row>
    <row r="541" spans="2:3" ht="15.75" customHeight="1" x14ac:dyDescent="0.2">
      <c r="B541"/>
      <c r="C541" s="97"/>
    </row>
    <row r="542" spans="2:3" ht="15.75" customHeight="1" x14ac:dyDescent="0.2">
      <c r="B542"/>
      <c r="C542" s="97"/>
    </row>
    <row r="543" spans="2:3" ht="15.75" customHeight="1" x14ac:dyDescent="0.2">
      <c r="B543"/>
      <c r="C543" s="97"/>
    </row>
    <row r="544" spans="2:3" ht="15.75" customHeight="1" x14ac:dyDescent="0.2">
      <c r="B544"/>
      <c r="C544" s="97"/>
    </row>
    <row r="545" spans="2:3" ht="15.75" customHeight="1" x14ac:dyDescent="0.2">
      <c r="B545"/>
      <c r="C545" s="97"/>
    </row>
    <row r="546" spans="2:3" ht="15.75" customHeight="1" x14ac:dyDescent="0.2">
      <c r="B546"/>
      <c r="C546" s="97"/>
    </row>
    <row r="547" spans="2:3" ht="15.75" customHeight="1" x14ac:dyDescent="0.2">
      <c r="B547"/>
      <c r="C547" s="97"/>
    </row>
    <row r="548" spans="2:3" ht="15.75" customHeight="1" x14ac:dyDescent="0.2">
      <c r="B548"/>
      <c r="C548" s="97"/>
    </row>
    <row r="549" spans="2:3" ht="15.75" customHeight="1" x14ac:dyDescent="0.2">
      <c r="B549"/>
      <c r="C549" s="97"/>
    </row>
    <row r="550" spans="2:3" ht="15.75" customHeight="1" x14ac:dyDescent="0.2">
      <c r="B550"/>
      <c r="C550" s="97"/>
    </row>
    <row r="551" spans="2:3" ht="15.75" customHeight="1" x14ac:dyDescent="0.2">
      <c r="B551"/>
      <c r="C551" s="97"/>
    </row>
    <row r="552" spans="2:3" ht="15.75" customHeight="1" x14ac:dyDescent="0.2">
      <c r="B552"/>
      <c r="C552" s="97"/>
    </row>
    <row r="553" spans="2:3" ht="15.75" customHeight="1" x14ac:dyDescent="0.2">
      <c r="B553"/>
      <c r="C553" s="97"/>
    </row>
    <row r="554" spans="2:3" ht="15.75" customHeight="1" x14ac:dyDescent="0.2">
      <c r="B554"/>
      <c r="C554" s="97"/>
    </row>
    <row r="555" spans="2:3" ht="15.75" customHeight="1" x14ac:dyDescent="0.2">
      <c r="B555"/>
      <c r="C555" s="97"/>
    </row>
    <row r="556" spans="2:3" ht="15.75" customHeight="1" x14ac:dyDescent="0.2">
      <c r="B556"/>
      <c r="C556" s="97"/>
    </row>
    <row r="557" spans="2:3" ht="15.75" customHeight="1" x14ac:dyDescent="0.2">
      <c r="B557"/>
      <c r="C557" s="97"/>
    </row>
    <row r="558" spans="2:3" ht="15.75" customHeight="1" x14ac:dyDescent="0.2">
      <c r="B558"/>
      <c r="C558" s="97"/>
    </row>
    <row r="559" spans="2:3" ht="15.75" customHeight="1" x14ac:dyDescent="0.2">
      <c r="B559"/>
      <c r="C559" s="97"/>
    </row>
    <row r="560" spans="2:3" ht="15.75" customHeight="1" x14ac:dyDescent="0.2">
      <c r="B560"/>
      <c r="C560" s="97"/>
    </row>
    <row r="561" spans="2:3" ht="15.75" customHeight="1" x14ac:dyDescent="0.2">
      <c r="B561"/>
      <c r="C561" s="97"/>
    </row>
    <row r="562" spans="2:3" ht="15.75" customHeight="1" x14ac:dyDescent="0.2">
      <c r="B562"/>
      <c r="C562" s="97"/>
    </row>
    <row r="563" spans="2:3" ht="15.75" customHeight="1" x14ac:dyDescent="0.2">
      <c r="B563"/>
      <c r="C563" s="97"/>
    </row>
    <row r="564" spans="2:3" ht="15.75" customHeight="1" x14ac:dyDescent="0.2">
      <c r="B564"/>
      <c r="C564" s="97"/>
    </row>
    <row r="565" spans="2:3" ht="15.75" customHeight="1" x14ac:dyDescent="0.2">
      <c r="B565"/>
      <c r="C565" s="97"/>
    </row>
    <row r="566" spans="2:3" ht="15.75" customHeight="1" x14ac:dyDescent="0.2">
      <c r="B566"/>
      <c r="C566" s="97"/>
    </row>
    <row r="567" spans="2:3" ht="15.75" customHeight="1" x14ac:dyDescent="0.2">
      <c r="B567"/>
      <c r="C567" s="97"/>
    </row>
    <row r="568" spans="2:3" ht="15.75" customHeight="1" x14ac:dyDescent="0.2">
      <c r="B568"/>
      <c r="C568" s="97"/>
    </row>
    <row r="569" spans="2:3" ht="15.75" customHeight="1" x14ac:dyDescent="0.2">
      <c r="B569"/>
      <c r="C569" s="97"/>
    </row>
    <row r="570" spans="2:3" ht="15.75" customHeight="1" x14ac:dyDescent="0.2">
      <c r="B570"/>
      <c r="C570" s="97"/>
    </row>
    <row r="571" spans="2:3" ht="15.75" customHeight="1" x14ac:dyDescent="0.2">
      <c r="B571"/>
      <c r="C571" s="97"/>
    </row>
    <row r="572" spans="2:3" ht="15.75" customHeight="1" x14ac:dyDescent="0.2">
      <c r="B572"/>
      <c r="C572" s="97"/>
    </row>
    <row r="573" spans="2:3" ht="15.75" customHeight="1" x14ac:dyDescent="0.2">
      <c r="B573"/>
      <c r="C573" s="97"/>
    </row>
    <row r="574" spans="2:3" ht="15.75" customHeight="1" x14ac:dyDescent="0.2">
      <c r="B574"/>
      <c r="C574" s="97"/>
    </row>
    <row r="575" spans="2:3" ht="15.75" customHeight="1" x14ac:dyDescent="0.2">
      <c r="B575"/>
      <c r="C575" s="97"/>
    </row>
    <row r="576" spans="2:3" ht="15.75" customHeight="1" x14ac:dyDescent="0.2">
      <c r="B576"/>
      <c r="C576" s="97"/>
    </row>
    <row r="577" spans="2:3" ht="15.75" customHeight="1" x14ac:dyDescent="0.2">
      <c r="B577"/>
      <c r="C577" s="97"/>
    </row>
    <row r="578" spans="2:3" ht="15.75" customHeight="1" x14ac:dyDescent="0.2">
      <c r="B578"/>
      <c r="C578" s="97"/>
    </row>
    <row r="579" spans="2:3" ht="15.75" customHeight="1" x14ac:dyDescent="0.2">
      <c r="B579"/>
      <c r="C579" s="97"/>
    </row>
    <row r="580" spans="2:3" ht="15.75" customHeight="1" x14ac:dyDescent="0.2">
      <c r="B580"/>
      <c r="C580" s="97"/>
    </row>
    <row r="581" spans="2:3" ht="15.75" customHeight="1" x14ac:dyDescent="0.2">
      <c r="B581"/>
      <c r="C581" s="97"/>
    </row>
    <row r="582" spans="2:3" ht="15.75" customHeight="1" x14ac:dyDescent="0.2">
      <c r="B582"/>
      <c r="C582" s="97"/>
    </row>
    <row r="583" spans="2:3" ht="15.75" customHeight="1" x14ac:dyDescent="0.2">
      <c r="B583"/>
      <c r="C583" s="97"/>
    </row>
    <row r="584" spans="2:3" ht="15.75" customHeight="1" x14ac:dyDescent="0.2">
      <c r="B584"/>
      <c r="C584" s="97"/>
    </row>
    <row r="585" spans="2:3" ht="15.75" customHeight="1" x14ac:dyDescent="0.2">
      <c r="B585"/>
      <c r="C585" s="97"/>
    </row>
    <row r="586" spans="2:3" ht="15.75" customHeight="1" x14ac:dyDescent="0.2">
      <c r="B586"/>
      <c r="C586" s="97"/>
    </row>
    <row r="587" spans="2:3" ht="15.75" customHeight="1" x14ac:dyDescent="0.2">
      <c r="B587"/>
      <c r="C587" s="97"/>
    </row>
    <row r="588" spans="2:3" ht="15.75" customHeight="1" x14ac:dyDescent="0.2">
      <c r="B588"/>
      <c r="C588" s="97"/>
    </row>
    <row r="589" spans="2:3" ht="15.75" customHeight="1" x14ac:dyDescent="0.2">
      <c r="B589"/>
      <c r="C589" s="97"/>
    </row>
    <row r="590" spans="2:3" ht="15.75" customHeight="1" x14ac:dyDescent="0.2">
      <c r="B590"/>
      <c r="C590" s="97"/>
    </row>
    <row r="591" spans="2:3" ht="15.75" customHeight="1" x14ac:dyDescent="0.2">
      <c r="B591"/>
      <c r="C591" s="97"/>
    </row>
    <row r="592" spans="2:3" ht="15.75" customHeight="1" x14ac:dyDescent="0.2">
      <c r="B592"/>
      <c r="C592" s="97"/>
    </row>
    <row r="593" spans="2:3" ht="15.75" customHeight="1" x14ac:dyDescent="0.2">
      <c r="B593"/>
      <c r="C593" s="97"/>
    </row>
    <row r="594" spans="2:3" ht="15.75" customHeight="1" x14ac:dyDescent="0.2">
      <c r="B594"/>
      <c r="C594" s="97"/>
    </row>
    <row r="595" spans="2:3" ht="15.75" customHeight="1" x14ac:dyDescent="0.2">
      <c r="B595"/>
      <c r="C595" s="97"/>
    </row>
    <row r="596" spans="2:3" ht="15.75" customHeight="1" x14ac:dyDescent="0.2">
      <c r="B596"/>
      <c r="C596" s="97"/>
    </row>
    <row r="597" spans="2:3" ht="15.75" customHeight="1" x14ac:dyDescent="0.2">
      <c r="B597"/>
      <c r="C597" s="97"/>
    </row>
    <row r="598" spans="2:3" ht="15.75" customHeight="1" x14ac:dyDescent="0.2">
      <c r="B598"/>
      <c r="C598" s="97"/>
    </row>
    <row r="599" spans="2:3" ht="15.75" customHeight="1" x14ac:dyDescent="0.2">
      <c r="B599"/>
      <c r="C599" s="97"/>
    </row>
    <row r="600" spans="2:3" ht="15.75" customHeight="1" x14ac:dyDescent="0.2">
      <c r="B600"/>
      <c r="C600" s="97"/>
    </row>
    <row r="601" spans="2:3" ht="15.75" customHeight="1" x14ac:dyDescent="0.2">
      <c r="B601"/>
      <c r="C601" s="97"/>
    </row>
    <row r="602" spans="2:3" ht="15.75" customHeight="1" x14ac:dyDescent="0.2">
      <c r="B602"/>
      <c r="C602" s="97"/>
    </row>
    <row r="603" spans="2:3" ht="15.75" customHeight="1" x14ac:dyDescent="0.2">
      <c r="B603"/>
      <c r="C603" s="97"/>
    </row>
    <row r="604" spans="2:3" ht="15.75" customHeight="1" x14ac:dyDescent="0.2">
      <c r="B604"/>
      <c r="C604" s="97"/>
    </row>
    <row r="605" spans="2:3" ht="15.75" customHeight="1" x14ac:dyDescent="0.2">
      <c r="B605"/>
      <c r="C605" s="97"/>
    </row>
    <row r="606" spans="2:3" ht="15.75" customHeight="1" x14ac:dyDescent="0.2">
      <c r="B606"/>
      <c r="C606" s="97"/>
    </row>
    <row r="607" spans="2:3" ht="15.75" customHeight="1" x14ac:dyDescent="0.2">
      <c r="B607"/>
      <c r="C607" s="97"/>
    </row>
    <row r="608" spans="2:3" ht="15.75" customHeight="1" x14ac:dyDescent="0.2">
      <c r="B608"/>
      <c r="C608" s="97"/>
    </row>
    <row r="609" spans="2:3" ht="15.75" customHeight="1" x14ac:dyDescent="0.2">
      <c r="B609"/>
      <c r="C609" s="97"/>
    </row>
    <row r="610" spans="2:3" ht="15.75" customHeight="1" x14ac:dyDescent="0.2">
      <c r="B610"/>
      <c r="C610" s="97"/>
    </row>
    <row r="611" spans="2:3" ht="15.75" customHeight="1" x14ac:dyDescent="0.2">
      <c r="B611"/>
      <c r="C611" s="97"/>
    </row>
    <row r="612" spans="2:3" ht="15.75" customHeight="1" x14ac:dyDescent="0.2">
      <c r="B612"/>
      <c r="C612" s="97"/>
    </row>
    <row r="613" spans="2:3" ht="15.75" customHeight="1" x14ac:dyDescent="0.2">
      <c r="B613"/>
      <c r="C613" s="97"/>
    </row>
    <row r="614" spans="2:3" ht="15.75" customHeight="1" x14ac:dyDescent="0.2">
      <c r="B614"/>
      <c r="C614" s="97"/>
    </row>
    <row r="615" spans="2:3" ht="15.75" customHeight="1" x14ac:dyDescent="0.2">
      <c r="B615"/>
      <c r="C615" s="97"/>
    </row>
    <row r="616" spans="2:3" ht="15.75" customHeight="1" x14ac:dyDescent="0.2">
      <c r="B616"/>
      <c r="C616" s="97"/>
    </row>
    <row r="617" spans="2:3" ht="15.75" customHeight="1" x14ac:dyDescent="0.2">
      <c r="B617"/>
      <c r="C617" s="97"/>
    </row>
    <row r="618" spans="2:3" ht="15.75" customHeight="1" x14ac:dyDescent="0.2">
      <c r="B618"/>
      <c r="C618" s="97"/>
    </row>
    <row r="619" spans="2:3" ht="15.75" customHeight="1" x14ac:dyDescent="0.2">
      <c r="B619"/>
      <c r="C619" s="97"/>
    </row>
    <row r="620" spans="2:3" ht="15.75" customHeight="1" x14ac:dyDescent="0.2">
      <c r="B620"/>
      <c r="C620" s="97"/>
    </row>
    <row r="621" spans="2:3" ht="15.75" customHeight="1" x14ac:dyDescent="0.2">
      <c r="B621"/>
      <c r="C621" s="97"/>
    </row>
    <row r="622" spans="2:3" ht="15.75" customHeight="1" x14ac:dyDescent="0.2">
      <c r="B622"/>
      <c r="C622" s="97"/>
    </row>
    <row r="623" spans="2:3" ht="15.75" customHeight="1" x14ac:dyDescent="0.2">
      <c r="B623"/>
      <c r="C623" s="97"/>
    </row>
    <row r="624" spans="2:3" ht="15.75" customHeight="1" x14ac:dyDescent="0.2">
      <c r="B624"/>
      <c r="C624" s="97"/>
    </row>
    <row r="625" spans="2:3" ht="15.75" customHeight="1" x14ac:dyDescent="0.2">
      <c r="B625"/>
      <c r="C625" s="97"/>
    </row>
    <row r="626" spans="2:3" ht="15.75" customHeight="1" x14ac:dyDescent="0.2">
      <c r="B626"/>
      <c r="C626" s="97"/>
    </row>
    <row r="627" spans="2:3" ht="15.75" customHeight="1" x14ac:dyDescent="0.2">
      <c r="B627"/>
      <c r="C627" s="97"/>
    </row>
    <row r="628" spans="2:3" ht="15.75" customHeight="1" x14ac:dyDescent="0.2">
      <c r="B628"/>
      <c r="C628" s="97"/>
    </row>
    <row r="629" spans="2:3" ht="15.75" customHeight="1" x14ac:dyDescent="0.2">
      <c r="B629"/>
      <c r="C629" s="97"/>
    </row>
    <row r="630" spans="2:3" ht="15.75" customHeight="1" x14ac:dyDescent="0.2">
      <c r="B630"/>
      <c r="C630" s="97"/>
    </row>
    <row r="631" spans="2:3" ht="15.75" customHeight="1" x14ac:dyDescent="0.2">
      <c r="B631"/>
      <c r="C631" s="97"/>
    </row>
    <row r="632" spans="2:3" ht="15.75" customHeight="1" x14ac:dyDescent="0.2">
      <c r="B632"/>
      <c r="C632" s="97"/>
    </row>
    <row r="633" spans="2:3" ht="15.75" customHeight="1" x14ac:dyDescent="0.2">
      <c r="B633"/>
      <c r="C633" s="97"/>
    </row>
    <row r="634" spans="2:3" ht="15.75" customHeight="1" x14ac:dyDescent="0.2">
      <c r="B634"/>
      <c r="C634" s="97"/>
    </row>
    <row r="635" spans="2:3" ht="15.75" customHeight="1" x14ac:dyDescent="0.2">
      <c r="B635"/>
      <c r="C635" s="97"/>
    </row>
    <row r="636" spans="2:3" ht="15.75" customHeight="1" x14ac:dyDescent="0.2">
      <c r="B636"/>
      <c r="C636" s="97"/>
    </row>
    <row r="637" spans="2:3" ht="15.75" customHeight="1" x14ac:dyDescent="0.2">
      <c r="B637"/>
      <c r="C637" s="97"/>
    </row>
    <row r="638" spans="2:3" ht="15.75" customHeight="1" x14ac:dyDescent="0.2">
      <c r="B638"/>
      <c r="C638" s="97"/>
    </row>
    <row r="639" spans="2:3" ht="15.75" customHeight="1" x14ac:dyDescent="0.2">
      <c r="B639"/>
      <c r="C639" s="97"/>
    </row>
    <row r="640" spans="2:3" ht="15.75" customHeight="1" x14ac:dyDescent="0.2">
      <c r="B640"/>
      <c r="C640" s="97"/>
    </row>
    <row r="641" spans="2:3" ht="15.75" customHeight="1" x14ac:dyDescent="0.2">
      <c r="B641"/>
      <c r="C641" s="97"/>
    </row>
    <row r="642" spans="2:3" ht="15.75" customHeight="1" x14ac:dyDescent="0.2">
      <c r="B642"/>
      <c r="C642" s="97"/>
    </row>
    <row r="643" spans="2:3" ht="15.75" customHeight="1" x14ac:dyDescent="0.2">
      <c r="B643"/>
      <c r="C643" s="97"/>
    </row>
    <row r="644" spans="2:3" ht="15.75" customHeight="1" x14ac:dyDescent="0.2">
      <c r="B644"/>
      <c r="C644" s="97"/>
    </row>
    <row r="645" spans="2:3" ht="15.75" customHeight="1" x14ac:dyDescent="0.2">
      <c r="B645"/>
      <c r="C645" s="97"/>
    </row>
    <row r="646" spans="2:3" ht="15.75" customHeight="1" x14ac:dyDescent="0.2">
      <c r="B646"/>
      <c r="C646" s="97"/>
    </row>
    <row r="647" spans="2:3" ht="15.75" customHeight="1" x14ac:dyDescent="0.2">
      <c r="B647"/>
      <c r="C647" s="97"/>
    </row>
    <row r="648" spans="2:3" ht="15.75" customHeight="1" x14ac:dyDescent="0.2">
      <c r="B648"/>
      <c r="C648" s="97"/>
    </row>
    <row r="649" spans="2:3" ht="15.75" customHeight="1" x14ac:dyDescent="0.2">
      <c r="B649"/>
      <c r="C649" s="97"/>
    </row>
    <row r="650" spans="2:3" ht="15.75" customHeight="1" x14ac:dyDescent="0.2">
      <c r="B650"/>
      <c r="C650" s="97"/>
    </row>
    <row r="651" spans="2:3" ht="15.75" customHeight="1" x14ac:dyDescent="0.2">
      <c r="B651"/>
      <c r="C651" s="97"/>
    </row>
    <row r="652" spans="2:3" ht="15.75" customHeight="1" x14ac:dyDescent="0.2">
      <c r="B652"/>
      <c r="C652" s="97"/>
    </row>
    <row r="653" spans="2:3" ht="15.75" customHeight="1" x14ac:dyDescent="0.2">
      <c r="B653"/>
      <c r="C653" s="97"/>
    </row>
    <row r="654" spans="2:3" ht="15.75" customHeight="1" x14ac:dyDescent="0.2">
      <c r="B654"/>
      <c r="C654" s="97"/>
    </row>
    <row r="655" spans="2:3" ht="15.75" customHeight="1" x14ac:dyDescent="0.2">
      <c r="B655"/>
      <c r="C655" s="97"/>
    </row>
    <row r="656" spans="2:3" ht="15.75" customHeight="1" x14ac:dyDescent="0.2">
      <c r="B656"/>
      <c r="C656" s="97"/>
    </row>
    <row r="657" spans="2:3" ht="15.75" customHeight="1" x14ac:dyDescent="0.2">
      <c r="B657"/>
      <c r="C657" s="97"/>
    </row>
    <row r="658" spans="2:3" ht="15.75" customHeight="1" x14ac:dyDescent="0.2">
      <c r="B658"/>
      <c r="C658" s="97"/>
    </row>
    <row r="659" spans="2:3" ht="15.75" customHeight="1" x14ac:dyDescent="0.2">
      <c r="B659"/>
      <c r="C659" s="97"/>
    </row>
    <row r="660" spans="2:3" ht="15.75" customHeight="1" x14ac:dyDescent="0.2">
      <c r="B660"/>
      <c r="C660" s="97"/>
    </row>
    <row r="661" spans="2:3" ht="15.75" customHeight="1" x14ac:dyDescent="0.2">
      <c r="B661"/>
      <c r="C661" s="97"/>
    </row>
    <row r="662" spans="2:3" ht="15.75" customHeight="1" x14ac:dyDescent="0.2">
      <c r="B662"/>
      <c r="C662" s="97"/>
    </row>
    <row r="663" spans="2:3" ht="15.75" customHeight="1" x14ac:dyDescent="0.2">
      <c r="B663"/>
      <c r="C663" s="97"/>
    </row>
    <row r="664" spans="2:3" ht="15.75" customHeight="1" x14ac:dyDescent="0.2">
      <c r="B664"/>
      <c r="C664" s="97"/>
    </row>
    <row r="665" spans="2:3" ht="15.75" customHeight="1" x14ac:dyDescent="0.2">
      <c r="B665"/>
      <c r="C665" s="97"/>
    </row>
    <row r="666" spans="2:3" ht="15.75" customHeight="1" x14ac:dyDescent="0.2">
      <c r="B666"/>
      <c r="C666" s="97"/>
    </row>
    <row r="667" spans="2:3" ht="15.75" customHeight="1" x14ac:dyDescent="0.2">
      <c r="B667"/>
      <c r="C667" s="97"/>
    </row>
    <row r="668" spans="2:3" ht="15.75" customHeight="1" x14ac:dyDescent="0.2">
      <c r="B668"/>
      <c r="C668" s="97"/>
    </row>
    <row r="669" spans="2:3" ht="15.75" customHeight="1" x14ac:dyDescent="0.2">
      <c r="B669"/>
      <c r="C669" s="97"/>
    </row>
    <row r="670" spans="2:3" ht="15.75" customHeight="1" x14ac:dyDescent="0.2">
      <c r="B670"/>
      <c r="C670" s="97"/>
    </row>
    <row r="671" spans="2:3" ht="15.75" customHeight="1" x14ac:dyDescent="0.2">
      <c r="B671"/>
      <c r="C671" s="97"/>
    </row>
    <row r="672" spans="2:3" ht="15.75" customHeight="1" x14ac:dyDescent="0.2">
      <c r="B672"/>
      <c r="C672" s="97"/>
    </row>
    <row r="673" spans="2:3" ht="15.75" customHeight="1" x14ac:dyDescent="0.2">
      <c r="B673"/>
      <c r="C673" s="97"/>
    </row>
    <row r="674" spans="2:3" ht="15.75" customHeight="1" x14ac:dyDescent="0.2">
      <c r="B674"/>
      <c r="C674" s="97"/>
    </row>
    <row r="675" spans="2:3" ht="15.75" customHeight="1" x14ac:dyDescent="0.2">
      <c r="B675"/>
      <c r="C675" s="97"/>
    </row>
    <row r="676" spans="2:3" ht="15.75" customHeight="1" x14ac:dyDescent="0.2">
      <c r="B676"/>
      <c r="C676" s="97"/>
    </row>
    <row r="677" spans="2:3" ht="15.75" customHeight="1" x14ac:dyDescent="0.2">
      <c r="B677"/>
      <c r="C677" s="97"/>
    </row>
    <row r="678" spans="2:3" ht="15.75" customHeight="1" x14ac:dyDescent="0.2">
      <c r="B678"/>
      <c r="C678" s="97"/>
    </row>
    <row r="679" spans="2:3" ht="15.75" customHeight="1" x14ac:dyDescent="0.2">
      <c r="B679"/>
      <c r="C679" s="97"/>
    </row>
    <row r="680" spans="2:3" ht="15.75" customHeight="1" x14ac:dyDescent="0.2">
      <c r="B680"/>
      <c r="C680" s="97"/>
    </row>
    <row r="681" spans="2:3" ht="15.75" customHeight="1" x14ac:dyDescent="0.2">
      <c r="B681"/>
      <c r="C681" s="97"/>
    </row>
    <row r="682" spans="2:3" ht="15.75" customHeight="1" x14ac:dyDescent="0.2">
      <c r="B682"/>
      <c r="C682" s="97"/>
    </row>
    <row r="683" spans="2:3" ht="15.75" customHeight="1" x14ac:dyDescent="0.2">
      <c r="B683"/>
      <c r="C683" s="97"/>
    </row>
    <row r="684" spans="2:3" ht="15.75" customHeight="1" x14ac:dyDescent="0.2">
      <c r="B684"/>
      <c r="C684" s="97"/>
    </row>
    <row r="685" spans="2:3" ht="15.75" customHeight="1" x14ac:dyDescent="0.2">
      <c r="B685"/>
      <c r="C685" s="97"/>
    </row>
    <row r="686" spans="2:3" ht="15.75" customHeight="1" x14ac:dyDescent="0.2">
      <c r="B686"/>
      <c r="C686" s="97"/>
    </row>
    <row r="687" spans="2:3" ht="15.75" customHeight="1" x14ac:dyDescent="0.2">
      <c r="B687"/>
      <c r="C687" s="97"/>
    </row>
    <row r="688" spans="2:3" ht="15.75" customHeight="1" x14ac:dyDescent="0.2">
      <c r="B688"/>
      <c r="C688" s="97"/>
    </row>
    <row r="689" spans="2:3" ht="15.75" customHeight="1" x14ac:dyDescent="0.2">
      <c r="B689"/>
      <c r="C689" s="97"/>
    </row>
    <row r="690" spans="2:3" ht="15.75" customHeight="1" x14ac:dyDescent="0.2">
      <c r="B690"/>
      <c r="C690" s="97"/>
    </row>
    <row r="691" spans="2:3" ht="15.75" customHeight="1" x14ac:dyDescent="0.2">
      <c r="B691"/>
      <c r="C691" s="97"/>
    </row>
    <row r="692" spans="2:3" ht="15.75" customHeight="1" x14ac:dyDescent="0.2">
      <c r="B692"/>
      <c r="C692" s="97"/>
    </row>
    <row r="693" spans="2:3" ht="15.75" customHeight="1" x14ac:dyDescent="0.2">
      <c r="B693"/>
      <c r="C693" s="97"/>
    </row>
    <row r="694" spans="2:3" ht="15.75" customHeight="1" x14ac:dyDescent="0.2">
      <c r="B694"/>
      <c r="C694" s="97"/>
    </row>
    <row r="695" spans="2:3" ht="15.75" customHeight="1" x14ac:dyDescent="0.2">
      <c r="B695"/>
      <c r="C695" s="97"/>
    </row>
    <row r="696" spans="2:3" ht="15.75" customHeight="1" x14ac:dyDescent="0.2">
      <c r="B696"/>
      <c r="C696" s="97"/>
    </row>
    <row r="697" spans="2:3" ht="15.75" customHeight="1" x14ac:dyDescent="0.2">
      <c r="B697"/>
      <c r="C697" s="97"/>
    </row>
    <row r="698" spans="2:3" ht="15.75" customHeight="1" x14ac:dyDescent="0.2">
      <c r="B698"/>
      <c r="C698" s="97"/>
    </row>
    <row r="699" spans="2:3" ht="15.75" customHeight="1" x14ac:dyDescent="0.2">
      <c r="B699"/>
      <c r="C699" s="97"/>
    </row>
    <row r="700" spans="2:3" ht="15.75" customHeight="1" x14ac:dyDescent="0.2">
      <c r="B700"/>
      <c r="C700" s="97"/>
    </row>
    <row r="701" spans="2:3" ht="15.75" customHeight="1" x14ac:dyDescent="0.2">
      <c r="B701"/>
      <c r="C701" s="97"/>
    </row>
    <row r="702" spans="2:3" ht="15.75" customHeight="1" x14ac:dyDescent="0.2">
      <c r="B702"/>
      <c r="C702" s="97"/>
    </row>
    <row r="703" spans="2:3" ht="15.75" customHeight="1" x14ac:dyDescent="0.2">
      <c r="B703"/>
      <c r="C703" s="97"/>
    </row>
    <row r="704" spans="2:3" ht="15.75" customHeight="1" x14ac:dyDescent="0.2">
      <c r="B704"/>
      <c r="C704" s="97"/>
    </row>
    <row r="705" spans="2:3" ht="15.75" customHeight="1" x14ac:dyDescent="0.2">
      <c r="B705"/>
      <c r="C705" s="97"/>
    </row>
    <row r="706" spans="2:3" ht="15.75" customHeight="1" x14ac:dyDescent="0.2">
      <c r="B706"/>
      <c r="C706" s="97"/>
    </row>
    <row r="707" spans="2:3" ht="15.75" customHeight="1" x14ac:dyDescent="0.2">
      <c r="B707"/>
      <c r="C707" s="97"/>
    </row>
    <row r="708" spans="2:3" ht="15.75" customHeight="1" x14ac:dyDescent="0.2">
      <c r="B708"/>
      <c r="C708" s="97"/>
    </row>
    <row r="709" spans="2:3" ht="15.75" customHeight="1" x14ac:dyDescent="0.2">
      <c r="B709"/>
      <c r="C709" s="97"/>
    </row>
    <row r="710" spans="2:3" ht="15.75" customHeight="1" x14ac:dyDescent="0.2">
      <c r="B710"/>
      <c r="C710" s="97"/>
    </row>
    <row r="711" spans="2:3" ht="15.75" customHeight="1" x14ac:dyDescent="0.2">
      <c r="B711"/>
      <c r="C711" s="97"/>
    </row>
    <row r="712" spans="2:3" ht="15.75" customHeight="1" x14ac:dyDescent="0.2">
      <c r="B712"/>
      <c r="C712" s="97"/>
    </row>
    <row r="713" spans="2:3" ht="15.75" customHeight="1" x14ac:dyDescent="0.2">
      <c r="B713"/>
      <c r="C713" s="97"/>
    </row>
    <row r="714" spans="2:3" ht="15.75" customHeight="1" x14ac:dyDescent="0.2">
      <c r="B714"/>
      <c r="C714" s="97"/>
    </row>
    <row r="715" spans="2:3" ht="15.75" customHeight="1" x14ac:dyDescent="0.2">
      <c r="B715"/>
      <c r="C715" s="97"/>
    </row>
    <row r="716" spans="2:3" ht="15.75" customHeight="1" x14ac:dyDescent="0.2">
      <c r="B716"/>
      <c r="C716" s="97"/>
    </row>
    <row r="717" spans="2:3" ht="15.75" customHeight="1" x14ac:dyDescent="0.2">
      <c r="B717"/>
      <c r="C717" s="97"/>
    </row>
    <row r="718" spans="2:3" ht="15.75" customHeight="1" x14ac:dyDescent="0.2">
      <c r="B718"/>
      <c r="C718" s="97"/>
    </row>
    <row r="719" spans="2:3" ht="15.75" customHeight="1" x14ac:dyDescent="0.2">
      <c r="B719"/>
      <c r="C719" s="97"/>
    </row>
    <row r="720" spans="2:3" ht="15.75" customHeight="1" x14ac:dyDescent="0.2">
      <c r="B720"/>
      <c r="C720" s="97"/>
    </row>
    <row r="721" spans="2:3" ht="15.75" customHeight="1" x14ac:dyDescent="0.2">
      <c r="B721"/>
      <c r="C721" s="97"/>
    </row>
    <row r="722" spans="2:3" ht="15.75" customHeight="1" x14ac:dyDescent="0.2">
      <c r="B722"/>
      <c r="C722" s="97"/>
    </row>
    <row r="723" spans="2:3" ht="15.75" customHeight="1" x14ac:dyDescent="0.2">
      <c r="B723"/>
      <c r="C723" s="97"/>
    </row>
    <row r="724" spans="2:3" ht="15.75" customHeight="1" x14ac:dyDescent="0.2">
      <c r="B724"/>
      <c r="C724" s="97"/>
    </row>
    <row r="725" spans="2:3" ht="15.75" customHeight="1" x14ac:dyDescent="0.2">
      <c r="B725"/>
      <c r="C725" s="97"/>
    </row>
    <row r="726" spans="2:3" ht="15.75" customHeight="1" x14ac:dyDescent="0.2">
      <c r="B726"/>
      <c r="C726" s="97"/>
    </row>
    <row r="727" spans="2:3" ht="15.75" customHeight="1" x14ac:dyDescent="0.2">
      <c r="B727"/>
      <c r="C727" s="97"/>
    </row>
    <row r="728" spans="2:3" ht="15.75" customHeight="1" x14ac:dyDescent="0.2">
      <c r="B728"/>
      <c r="C728" s="97"/>
    </row>
    <row r="729" spans="2:3" ht="15.75" customHeight="1" x14ac:dyDescent="0.2">
      <c r="B729"/>
      <c r="C729" s="97"/>
    </row>
    <row r="730" spans="2:3" ht="15.75" customHeight="1" x14ac:dyDescent="0.2">
      <c r="B730"/>
      <c r="C730" s="97"/>
    </row>
    <row r="731" spans="2:3" ht="15.75" customHeight="1" x14ac:dyDescent="0.2">
      <c r="B731"/>
      <c r="C731" s="97"/>
    </row>
    <row r="732" spans="2:3" ht="15.75" customHeight="1" x14ac:dyDescent="0.2">
      <c r="B732"/>
      <c r="C732" s="97"/>
    </row>
    <row r="733" spans="2:3" ht="15.75" customHeight="1" x14ac:dyDescent="0.2">
      <c r="B733"/>
      <c r="C733" s="97"/>
    </row>
    <row r="734" spans="2:3" ht="15.75" customHeight="1" x14ac:dyDescent="0.2">
      <c r="B734"/>
      <c r="C734" s="97"/>
    </row>
    <row r="735" spans="2:3" ht="15.75" customHeight="1" x14ac:dyDescent="0.2">
      <c r="B735"/>
      <c r="C735" s="97"/>
    </row>
    <row r="736" spans="2:3" ht="15.75" customHeight="1" x14ac:dyDescent="0.2">
      <c r="B736"/>
      <c r="C736" s="97"/>
    </row>
    <row r="737" spans="2:3" ht="15.75" customHeight="1" x14ac:dyDescent="0.2">
      <c r="B737"/>
      <c r="C737" s="97"/>
    </row>
    <row r="738" spans="2:3" ht="15.75" customHeight="1" x14ac:dyDescent="0.2">
      <c r="B738"/>
      <c r="C738" s="97"/>
    </row>
    <row r="739" spans="2:3" ht="15.75" customHeight="1" x14ac:dyDescent="0.2">
      <c r="B739"/>
      <c r="C739" s="97"/>
    </row>
    <row r="740" spans="2:3" ht="15.75" customHeight="1" x14ac:dyDescent="0.2">
      <c r="B740"/>
      <c r="C740" s="97"/>
    </row>
    <row r="741" spans="2:3" ht="15.75" customHeight="1" x14ac:dyDescent="0.2">
      <c r="B741"/>
      <c r="C741" s="97"/>
    </row>
    <row r="742" spans="2:3" ht="15.75" customHeight="1" x14ac:dyDescent="0.2">
      <c r="B742"/>
      <c r="C742" s="97"/>
    </row>
    <row r="743" spans="2:3" ht="15.75" customHeight="1" x14ac:dyDescent="0.2">
      <c r="B743"/>
      <c r="C743" s="97"/>
    </row>
    <row r="744" spans="2:3" ht="15.75" customHeight="1" x14ac:dyDescent="0.2">
      <c r="B744"/>
      <c r="C744" s="97"/>
    </row>
    <row r="745" spans="2:3" ht="15.75" customHeight="1" x14ac:dyDescent="0.2">
      <c r="B745"/>
      <c r="C745" s="97"/>
    </row>
    <row r="746" spans="2:3" ht="15.75" customHeight="1" x14ac:dyDescent="0.2">
      <c r="B746"/>
      <c r="C746" s="97"/>
    </row>
    <row r="747" spans="2:3" ht="15.75" customHeight="1" x14ac:dyDescent="0.2">
      <c r="B747"/>
      <c r="C747" s="97"/>
    </row>
    <row r="748" spans="2:3" ht="15.75" customHeight="1" x14ac:dyDescent="0.2">
      <c r="B748"/>
      <c r="C748" s="97"/>
    </row>
    <row r="749" spans="2:3" ht="15.75" customHeight="1" x14ac:dyDescent="0.2">
      <c r="B749"/>
      <c r="C749" s="97"/>
    </row>
    <row r="750" spans="2:3" ht="15.75" customHeight="1" x14ac:dyDescent="0.2">
      <c r="B750"/>
      <c r="C750" s="97"/>
    </row>
    <row r="751" spans="2:3" ht="15.75" customHeight="1" x14ac:dyDescent="0.2">
      <c r="B751"/>
      <c r="C751" s="97"/>
    </row>
    <row r="752" spans="2:3" ht="15.75" customHeight="1" x14ac:dyDescent="0.2">
      <c r="B752"/>
      <c r="C752" s="97"/>
    </row>
    <row r="753" spans="2:3" ht="15.75" customHeight="1" x14ac:dyDescent="0.2">
      <c r="B753"/>
      <c r="C753" s="97"/>
    </row>
    <row r="754" spans="2:3" ht="15.75" customHeight="1" x14ac:dyDescent="0.2">
      <c r="B754"/>
      <c r="C754" s="97"/>
    </row>
    <row r="755" spans="2:3" ht="15.75" customHeight="1" x14ac:dyDescent="0.2">
      <c r="B755"/>
      <c r="C755" s="97"/>
    </row>
    <row r="756" spans="2:3" ht="15.75" customHeight="1" x14ac:dyDescent="0.2">
      <c r="B756"/>
      <c r="C756" s="97"/>
    </row>
    <row r="757" spans="2:3" ht="15.75" customHeight="1" x14ac:dyDescent="0.2">
      <c r="B757"/>
      <c r="C757" s="97"/>
    </row>
    <row r="758" spans="2:3" ht="15.75" customHeight="1" x14ac:dyDescent="0.2">
      <c r="B758"/>
      <c r="C758" s="97"/>
    </row>
    <row r="759" spans="2:3" ht="15.75" customHeight="1" x14ac:dyDescent="0.2">
      <c r="B759"/>
      <c r="C759" s="97"/>
    </row>
    <row r="760" spans="2:3" ht="15.75" customHeight="1" x14ac:dyDescent="0.2">
      <c r="B760"/>
      <c r="C760" s="97"/>
    </row>
    <row r="761" spans="2:3" ht="15.75" customHeight="1" x14ac:dyDescent="0.2">
      <c r="B761"/>
      <c r="C761" s="97"/>
    </row>
    <row r="762" spans="2:3" ht="15.75" customHeight="1" x14ac:dyDescent="0.2">
      <c r="B762"/>
      <c r="C762" s="97"/>
    </row>
    <row r="763" spans="2:3" ht="15.75" customHeight="1" x14ac:dyDescent="0.2">
      <c r="B763"/>
      <c r="C763" s="97"/>
    </row>
    <row r="764" spans="2:3" ht="15.75" customHeight="1" x14ac:dyDescent="0.2">
      <c r="B764"/>
      <c r="C764" s="97"/>
    </row>
    <row r="765" spans="2:3" ht="15.75" customHeight="1" x14ac:dyDescent="0.2">
      <c r="B765"/>
      <c r="C765" s="97"/>
    </row>
    <row r="766" spans="2:3" ht="15.75" customHeight="1" x14ac:dyDescent="0.2">
      <c r="B766"/>
      <c r="C766" s="97"/>
    </row>
    <row r="767" spans="2:3" ht="15.75" customHeight="1" x14ac:dyDescent="0.2">
      <c r="B767"/>
      <c r="C767" s="97"/>
    </row>
    <row r="768" spans="2:3" ht="15.75" customHeight="1" x14ac:dyDescent="0.2">
      <c r="B768"/>
      <c r="C768" s="97"/>
    </row>
    <row r="769" spans="2:3" ht="15.75" customHeight="1" x14ac:dyDescent="0.2">
      <c r="B769"/>
      <c r="C769" s="97"/>
    </row>
    <row r="770" spans="2:3" ht="15.75" customHeight="1" x14ac:dyDescent="0.2">
      <c r="B770"/>
      <c r="C770" s="97"/>
    </row>
    <row r="771" spans="2:3" ht="15.75" customHeight="1" x14ac:dyDescent="0.2">
      <c r="B771"/>
      <c r="C771" s="97"/>
    </row>
    <row r="772" spans="2:3" ht="15.75" customHeight="1" x14ac:dyDescent="0.2">
      <c r="B772"/>
      <c r="C772" s="97"/>
    </row>
    <row r="773" spans="2:3" ht="15.75" customHeight="1" x14ac:dyDescent="0.2">
      <c r="B773"/>
      <c r="C773" s="97"/>
    </row>
    <row r="774" spans="2:3" ht="15.75" customHeight="1" x14ac:dyDescent="0.2">
      <c r="B774"/>
      <c r="C774" s="97"/>
    </row>
    <row r="775" spans="2:3" ht="15.75" customHeight="1" x14ac:dyDescent="0.2">
      <c r="B775"/>
      <c r="C775" s="97"/>
    </row>
    <row r="776" spans="2:3" ht="15.75" customHeight="1" x14ac:dyDescent="0.2">
      <c r="B776"/>
      <c r="C776" s="97"/>
    </row>
    <row r="777" spans="2:3" ht="15.75" customHeight="1" x14ac:dyDescent="0.2">
      <c r="B777"/>
      <c r="C777" s="97"/>
    </row>
    <row r="778" spans="2:3" ht="15.75" customHeight="1" x14ac:dyDescent="0.2">
      <c r="B778"/>
      <c r="C778" s="97"/>
    </row>
    <row r="779" spans="2:3" ht="15.75" customHeight="1" x14ac:dyDescent="0.2">
      <c r="B779"/>
      <c r="C779" s="97"/>
    </row>
    <row r="780" spans="2:3" ht="15.75" customHeight="1" x14ac:dyDescent="0.2">
      <c r="B780"/>
      <c r="C780" s="97"/>
    </row>
    <row r="781" spans="2:3" ht="15.75" customHeight="1" x14ac:dyDescent="0.2">
      <c r="B781"/>
      <c r="C781" s="97"/>
    </row>
    <row r="782" spans="2:3" ht="15.75" customHeight="1" x14ac:dyDescent="0.2">
      <c r="B782"/>
      <c r="C782" s="97"/>
    </row>
    <row r="783" spans="2:3" ht="15.75" customHeight="1" x14ac:dyDescent="0.2">
      <c r="B783"/>
      <c r="C783" s="97"/>
    </row>
    <row r="784" spans="2:3" ht="15.75" customHeight="1" x14ac:dyDescent="0.2">
      <c r="B784"/>
      <c r="C784" s="97"/>
    </row>
    <row r="785" spans="2:3" ht="15.75" customHeight="1" x14ac:dyDescent="0.2">
      <c r="B785"/>
      <c r="C785" s="97"/>
    </row>
    <row r="786" spans="2:3" ht="15.75" customHeight="1" x14ac:dyDescent="0.2">
      <c r="B786"/>
      <c r="C786" s="97"/>
    </row>
    <row r="787" spans="2:3" ht="15.75" customHeight="1" x14ac:dyDescent="0.2">
      <c r="B787"/>
      <c r="C787" s="97"/>
    </row>
    <row r="788" spans="2:3" ht="15.75" customHeight="1" x14ac:dyDescent="0.2">
      <c r="B788"/>
      <c r="C788" s="97"/>
    </row>
    <row r="789" spans="2:3" ht="15.75" customHeight="1" x14ac:dyDescent="0.2">
      <c r="B789"/>
      <c r="C789" s="97"/>
    </row>
    <row r="790" spans="2:3" ht="15.75" customHeight="1" x14ac:dyDescent="0.2">
      <c r="B790"/>
      <c r="C790" s="97"/>
    </row>
    <row r="791" spans="2:3" ht="15.75" customHeight="1" x14ac:dyDescent="0.2">
      <c r="B791"/>
      <c r="C791" s="97"/>
    </row>
    <row r="792" spans="2:3" ht="15.75" customHeight="1" x14ac:dyDescent="0.2">
      <c r="B792"/>
      <c r="C792" s="97"/>
    </row>
    <row r="793" spans="2:3" ht="15.75" customHeight="1" x14ac:dyDescent="0.2">
      <c r="B793"/>
      <c r="C793" s="97"/>
    </row>
    <row r="794" spans="2:3" ht="15.75" customHeight="1" x14ac:dyDescent="0.2">
      <c r="B794"/>
      <c r="C794" s="97"/>
    </row>
    <row r="795" spans="2:3" ht="15.75" customHeight="1" x14ac:dyDescent="0.2">
      <c r="B795"/>
      <c r="C795" s="97"/>
    </row>
    <row r="796" spans="2:3" ht="15.75" customHeight="1" x14ac:dyDescent="0.2">
      <c r="B796"/>
      <c r="C796" s="97"/>
    </row>
    <row r="797" spans="2:3" ht="15.75" customHeight="1" x14ac:dyDescent="0.2">
      <c r="B797"/>
      <c r="C797" s="97"/>
    </row>
    <row r="798" spans="2:3" ht="15.75" customHeight="1" x14ac:dyDescent="0.2">
      <c r="B798"/>
      <c r="C798" s="97"/>
    </row>
    <row r="799" spans="2:3" ht="15.75" customHeight="1" x14ac:dyDescent="0.2">
      <c r="B799"/>
      <c r="C799" s="97"/>
    </row>
    <row r="800" spans="2:3" ht="15.75" customHeight="1" x14ac:dyDescent="0.2">
      <c r="B800"/>
      <c r="C800" s="97"/>
    </row>
    <row r="801" spans="2:3" ht="15.75" customHeight="1" x14ac:dyDescent="0.2">
      <c r="B801"/>
      <c r="C801" s="97"/>
    </row>
    <row r="802" spans="2:3" ht="15.75" customHeight="1" x14ac:dyDescent="0.2">
      <c r="B802"/>
      <c r="C802" s="97"/>
    </row>
    <row r="803" spans="2:3" ht="15.75" customHeight="1" x14ac:dyDescent="0.2">
      <c r="B803"/>
      <c r="C803" s="97"/>
    </row>
    <row r="804" spans="2:3" ht="15.75" customHeight="1" x14ac:dyDescent="0.2">
      <c r="B804"/>
      <c r="C804" s="97"/>
    </row>
    <row r="805" spans="2:3" ht="15.75" customHeight="1" x14ac:dyDescent="0.2">
      <c r="B805"/>
      <c r="C805" s="97"/>
    </row>
    <row r="806" spans="2:3" ht="15.75" customHeight="1" x14ac:dyDescent="0.2">
      <c r="B806"/>
      <c r="C806" s="97"/>
    </row>
    <row r="807" spans="2:3" ht="15.75" customHeight="1" x14ac:dyDescent="0.2">
      <c r="B807"/>
      <c r="C807" s="97"/>
    </row>
    <row r="808" spans="2:3" ht="15.75" customHeight="1" x14ac:dyDescent="0.2">
      <c r="B808"/>
      <c r="C808" s="97"/>
    </row>
    <row r="809" spans="2:3" ht="15.75" customHeight="1" x14ac:dyDescent="0.2">
      <c r="B809"/>
      <c r="C809" s="97"/>
    </row>
    <row r="810" spans="2:3" ht="15.75" customHeight="1" x14ac:dyDescent="0.2">
      <c r="B810"/>
      <c r="C810" s="97"/>
    </row>
    <row r="811" spans="2:3" ht="15.75" customHeight="1" x14ac:dyDescent="0.2">
      <c r="B811"/>
      <c r="C811" s="97"/>
    </row>
    <row r="812" spans="2:3" ht="15.75" customHeight="1" x14ac:dyDescent="0.2">
      <c r="B812"/>
      <c r="C812" s="97"/>
    </row>
    <row r="813" spans="2:3" ht="15.75" customHeight="1" x14ac:dyDescent="0.2">
      <c r="B813"/>
      <c r="C813" s="97"/>
    </row>
    <row r="814" spans="2:3" ht="15.75" customHeight="1" x14ac:dyDescent="0.2">
      <c r="B814"/>
      <c r="C814" s="97"/>
    </row>
    <row r="815" spans="2:3" ht="15.75" customHeight="1" x14ac:dyDescent="0.2">
      <c r="B815"/>
      <c r="C815" s="97"/>
    </row>
    <row r="816" spans="2:3" ht="15.75" customHeight="1" x14ac:dyDescent="0.2">
      <c r="B816"/>
      <c r="C816" s="97"/>
    </row>
    <row r="817" spans="2:3" ht="15.75" customHeight="1" x14ac:dyDescent="0.2">
      <c r="B817"/>
      <c r="C817" s="97"/>
    </row>
    <row r="818" spans="2:3" ht="15.75" customHeight="1" x14ac:dyDescent="0.2">
      <c r="B818"/>
      <c r="C818" s="97"/>
    </row>
    <row r="819" spans="2:3" ht="15.75" customHeight="1" x14ac:dyDescent="0.2">
      <c r="B819"/>
      <c r="C819" s="97"/>
    </row>
    <row r="820" spans="2:3" ht="15.75" customHeight="1" x14ac:dyDescent="0.2">
      <c r="B820"/>
      <c r="C820" s="97"/>
    </row>
    <row r="821" spans="2:3" ht="15.75" customHeight="1" x14ac:dyDescent="0.2">
      <c r="B821"/>
      <c r="C821" s="97"/>
    </row>
    <row r="822" spans="2:3" ht="15.75" customHeight="1" x14ac:dyDescent="0.2">
      <c r="B822"/>
      <c r="C822" s="97"/>
    </row>
    <row r="823" spans="2:3" ht="15.75" customHeight="1" x14ac:dyDescent="0.2">
      <c r="B823"/>
      <c r="C823" s="97"/>
    </row>
    <row r="824" spans="2:3" ht="15.75" customHeight="1" x14ac:dyDescent="0.2">
      <c r="B824"/>
      <c r="C824" s="97"/>
    </row>
    <row r="825" spans="2:3" ht="15.75" customHeight="1" x14ac:dyDescent="0.2">
      <c r="B825"/>
      <c r="C825" s="97"/>
    </row>
    <row r="826" spans="2:3" ht="15.75" customHeight="1" x14ac:dyDescent="0.2">
      <c r="B826"/>
      <c r="C826" s="97"/>
    </row>
    <row r="827" spans="2:3" ht="15.75" customHeight="1" x14ac:dyDescent="0.2">
      <c r="B827"/>
      <c r="C827" s="97"/>
    </row>
    <row r="828" spans="2:3" ht="15.75" customHeight="1" x14ac:dyDescent="0.2">
      <c r="B828"/>
      <c r="C828" s="97"/>
    </row>
    <row r="829" spans="2:3" ht="15.75" customHeight="1" x14ac:dyDescent="0.2">
      <c r="B829"/>
      <c r="C829" s="97"/>
    </row>
    <row r="830" spans="2:3" ht="15.75" customHeight="1" x14ac:dyDescent="0.2">
      <c r="B830"/>
      <c r="C830" s="97"/>
    </row>
    <row r="831" spans="2:3" ht="15.75" customHeight="1" x14ac:dyDescent="0.2">
      <c r="B831"/>
      <c r="C831" s="97"/>
    </row>
    <row r="832" spans="2:3" ht="15.75" customHeight="1" x14ac:dyDescent="0.2">
      <c r="B832"/>
      <c r="C832" s="97"/>
    </row>
    <row r="833" spans="2:3" ht="15.75" customHeight="1" x14ac:dyDescent="0.2">
      <c r="B833"/>
      <c r="C833" s="97"/>
    </row>
    <row r="834" spans="2:3" ht="15.75" customHeight="1" x14ac:dyDescent="0.2">
      <c r="B834"/>
      <c r="C834" s="97"/>
    </row>
    <row r="835" spans="2:3" ht="15.75" customHeight="1" x14ac:dyDescent="0.2">
      <c r="B835"/>
      <c r="C835" s="97"/>
    </row>
    <row r="836" spans="2:3" ht="15.75" customHeight="1" x14ac:dyDescent="0.2">
      <c r="B836"/>
      <c r="C836" s="97"/>
    </row>
    <row r="837" spans="2:3" ht="15.75" customHeight="1" x14ac:dyDescent="0.2">
      <c r="B837"/>
      <c r="C837" s="97"/>
    </row>
    <row r="838" spans="2:3" ht="15.75" customHeight="1" x14ac:dyDescent="0.2">
      <c r="B838"/>
      <c r="C838" s="97"/>
    </row>
    <row r="839" spans="2:3" ht="15.75" customHeight="1" x14ac:dyDescent="0.2">
      <c r="B839"/>
      <c r="C839" s="97"/>
    </row>
    <row r="840" spans="2:3" ht="15.75" customHeight="1" x14ac:dyDescent="0.2">
      <c r="B840"/>
      <c r="C840" s="97"/>
    </row>
    <row r="841" spans="2:3" ht="15.75" customHeight="1" x14ac:dyDescent="0.2">
      <c r="B841"/>
      <c r="C841" s="97"/>
    </row>
    <row r="842" spans="2:3" ht="15.75" customHeight="1" x14ac:dyDescent="0.2">
      <c r="B842"/>
      <c r="C842" s="97"/>
    </row>
    <row r="843" spans="2:3" ht="15.75" customHeight="1" x14ac:dyDescent="0.2">
      <c r="B843"/>
      <c r="C843" s="97"/>
    </row>
    <row r="844" spans="2:3" ht="15.75" customHeight="1" x14ac:dyDescent="0.2">
      <c r="B844"/>
      <c r="C844" s="97"/>
    </row>
    <row r="845" spans="2:3" ht="15.75" customHeight="1" x14ac:dyDescent="0.2">
      <c r="B845"/>
      <c r="C845" s="97"/>
    </row>
    <row r="846" spans="2:3" ht="15.75" customHeight="1" x14ac:dyDescent="0.2">
      <c r="B846"/>
      <c r="C846" s="97"/>
    </row>
    <row r="847" spans="2:3" ht="15.75" customHeight="1" x14ac:dyDescent="0.2">
      <c r="B847"/>
      <c r="C847" s="97"/>
    </row>
    <row r="848" spans="2:3" ht="15.75" customHeight="1" x14ac:dyDescent="0.2">
      <c r="B848"/>
      <c r="C848" s="97"/>
    </row>
    <row r="849" spans="2:3" ht="15.75" customHeight="1" x14ac:dyDescent="0.2">
      <c r="B849"/>
      <c r="C849" s="97"/>
    </row>
    <row r="850" spans="2:3" ht="15.75" customHeight="1" x14ac:dyDescent="0.2">
      <c r="B850"/>
      <c r="C850" s="97"/>
    </row>
    <row r="851" spans="2:3" ht="15.75" customHeight="1" x14ac:dyDescent="0.2">
      <c r="B851"/>
      <c r="C851" s="97"/>
    </row>
    <row r="852" spans="2:3" ht="15.75" customHeight="1" x14ac:dyDescent="0.2">
      <c r="B852"/>
      <c r="C852" s="97"/>
    </row>
    <row r="853" spans="2:3" ht="15.75" customHeight="1" x14ac:dyDescent="0.2">
      <c r="B853"/>
      <c r="C853" s="97"/>
    </row>
    <row r="854" spans="2:3" ht="15.75" customHeight="1" x14ac:dyDescent="0.2">
      <c r="B854"/>
      <c r="C854" s="97"/>
    </row>
    <row r="855" spans="2:3" ht="15.75" customHeight="1" x14ac:dyDescent="0.2">
      <c r="B855"/>
      <c r="C855" s="97"/>
    </row>
    <row r="856" spans="2:3" ht="15.75" customHeight="1" x14ac:dyDescent="0.2">
      <c r="B856"/>
      <c r="C856" s="97"/>
    </row>
    <row r="857" spans="2:3" ht="15.75" customHeight="1" x14ac:dyDescent="0.2">
      <c r="B857"/>
      <c r="C857" s="97"/>
    </row>
    <row r="858" spans="2:3" ht="15.75" customHeight="1" x14ac:dyDescent="0.2">
      <c r="B858"/>
      <c r="C858" s="97"/>
    </row>
    <row r="859" spans="2:3" ht="15.75" customHeight="1" x14ac:dyDescent="0.2">
      <c r="B859"/>
      <c r="C859" s="97"/>
    </row>
    <row r="860" spans="2:3" ht="15.75" customHeight="1" x14ac:dyDescent="0.2">
      <c r="B860"/>
      <c r="C860" s="97"/>
    </row>
    <row r="861" spans="2:3" ht="15.75" customHeight="1" x14ac:dyDescent="0.2">
      <c r="B861"/>
      <c r="C861" s="97"/>
    </row>
    <row r="862" spans="2:3" ht="15.75" customHeight="1" x14ac:dyDescent="0.2">
      <c r="B862"/>
      <c r="C862" s="97"/>
    </row>
    <row r="863" spans="2:3" ht="15.75" customHeight="1" x14ac:dyDescent="0.2">
      <c r="B863"/>
      <c r="C863" s="97"/>
    </row>
    <row r="864" spans="2:3" ht="15.75" customHeight="1" x14ac:dyDescent="0.2">
      <c r="B864"/>
      <c r="C864" s="97"/>
    </row>
    <row r="865" spans="2:3" ht="15.75" customHeight="1" x14ac:dyDescent="0.2">
      <c r="B865"/>
      <c r="C865" s="97"/>
    </row>
    <row r="866" spans="2:3" ht="15.75" customHeight="1" x14ac:dyDescent="0.2">
      <c r="B866"/>
      <c r="C866" s="97"/>
    </row>
    <row r="867" spans="2:3" ht="15.75" customHeight="1" x14ac:dyDescent="0.2">
      <c r="B867"/>
      <c r="C867" s="97"/>
    </row>
    <row r="868" spans="2:3" ht="15.75" customHeight="1" x14ac:dyDescent="0.2">
      <c r="B868"/>
      <c r="C868" s="97"/>
    </row>
    <row r="869" spans="2:3" ht="15.75" customHeight="1" x14ac:dyDescent="0.2">
      <c r="B869"/>
      <c r="C869" s="97"/>
    </row>
    <row r="870" spans="2:3" ht="15.75" customHeight="1" x14ac:dyDescent="0.2">
      <c r="B870"/>
      <c r="C870" s="97"/>
    </row>
    <row r="871" spans="2:3" ht="15.75" customHeight="1" x14ac:dyDescent="0.2">
      <c r="B871"/>
      <c r="C871" s="97"/>
    </row>
    <row r="872" spans="2:3" ht="15.75" customHeight="1" x14ac:dyDescent="0.2">
      <c r="B872"/>
      <c r="C872" s="97"/>
    </row>
    <row r="873" spans="2:3" ht="15.75" customHeight="1" x14ac:dyDescent="0.2">
      <c r="B873"/>
      <c r="C873" s="97"/>
    </row>
    <row r="874" spans="2:3" ht="15.75" customHeight="1" x14ac:dyDescent="0.2">
      <c r="B874"/>
      <c r="C874" s="97"/>
    </row>
    <row r="875" spans="2:3" ht="15.75" customHeight="1" x14ac:dyDescent="0.2">
      <c r="B875"/>
      <c r="C875" s="97"/>
    </row>
    <row r="876" spans="2:3" ht="15.75" customHeight="1" x14ac:dyDescent="0.2">
      <c r="B876"/>
      <c r="C876" s="97"/>
    </row>
    <row r="877" spans="2:3" ht="15.75" customHeight="1" x14ac:dyDescent="0.2">
      <c r="B877"/>
      <c r="C877" s="97"/>
    </row>
    <row r="878" spans="2:3" ht="15.75" customHeight="1" x14ac:dyDescent="0.2">
      <c r="B878"/>
      <c r="C878" s="97"/>
    </row>
    <row r="879" spans="2:3" ht="15.75" customHeight="1" x14ac:dyDescent="0.2">
      <c r="B879"/>
      <c r="C879" s="97"/>
    </row>
    <row r="880" spans="2:3" ht="15.75" customHeight="1" x14ac:dyDescent="0.2">
      <c r="B880"/>
      <c r="C880" s="97"/>
    </row>
    <row r="881" spans="2:3" ht="15.75" customHeight="1" x14ac:dyDescent="0.2">
      <c r="B881"/>
      <c r="C881" s="97"/>
    </row>
    <row r="882" spans="2:3" ht="15.75" customHeight="1" x14ac:dyDescent="0.2">
      <c r="B882"/>
      <c r="C882" s="97"/>
    </row>
    <row r="883" spans="2:3" ht="15.75" customHeight="1" x14ac:dyDescent="0.2">
      <c r="B883"/>
      <c r="C883" s="97"/>
    </row>
    <row r="884" spans="2:3" ht="15.75" customHeight="1" x14ac:dyDescent="0.2">
      <c r="B884"/>
      <c r="C884" s="97"/>
    </row>
    <row r="885" spans="2:3" ht="15.75" customHeight="1" x14ac:dyDescent="0.2">
      <c r="B885"/>
      <c r="C885" s="97"/>
    </row>
    <row r="886" spans="2:3" ht="15.75" customHeight="1" x14ac:dyDescent="0.2">
      <c r="B886"/>
      <c r="C886" s="97"/>
    </row>
    <row r="887" spans="2:3" ht="15.75" customHeight="1" x14ac:dyDescent="0.2">
      <c r="B887"/>
      <c r="C887" s="97"/>
    </row>
    <row r="888" spans="2:3" ht="15.75" customHeight="1" x14ac:dyDescent="0.2">
      <c r="B888"/>
      <c r="C888" s="97"/>
    </row>
    <row r="889" spans="2:3" ht="15.75" customHeight="1" x14ac:dyDescent="0.2">
      <c r="B889"/>
      <c r="C889" s="97"/>
    </row>
    <row r="890" spans="2:3" ht="15.75" customHeight="1" x14ac:dyDescent="0.2">
      <c r="B890"/>
      <c r="C890" s="97"/>
    </row>
    <row r="891" spans="2:3" ht="15.75" customHeight="1" x14ac:dyDescent="0.2">
      <c r="B891"/>
      <c r="C891" s="97"/>
    </row>
    <row r="892" spans="2:3" ht="15.75" customHeight="1" x14ac:dyDescent="0.2">
      <c r="B892"/>
      <c r="C892" s="97"/>
    </row>
    <row r="893" spans="2:3" ht="15.75" customHeight="1" x14ac:dyDescent="0.2">
      <c r="B893"/>
      <c r="C893" s="97"/>
    </row>
    <row r="894" spans="2:3" ht="15.75" customHeight="1" x14ac:dyDescent="0.2">
      <c r="B894"/>
      <c r="C894" s="97"/>
    </row>
    <row r="895" spans="2:3" ht="15.75" customHeight="1" x14ac:dyDescent="0.2">
      <c r="B895"/>
      <c r="C895" s="97"/>
    </row>
    <row r="896" spans="2:3" ht="15.75" customHeight="1" x14ac:dyDescent="0.2">
      <c r="B896"/>
      <c r="C896" s="97"/>
    </row>
    <row r="897" spans="2:3" ht="15.75" customHeight="1" x14ac:dyDescent="0.2">
      <c r="B897"/>
      <c r="C897" s="97"/>
    </row>
    <row r="898" spans="2:3" ht="15.75" customHeight="1" x14ac:dyDescent="0.2">
      <c r="B898"/>
      <c r="C898" s="97"/>
    </row>
    <row r="899" spans="2:3" ht="15.75" customHeight="1" x14ac:dyDescent="0.2">
      <c r="B899"/>
      <c r="C899" s="97"/>
    </row>
    <row r="900" spans="2:3" ht="15.75" customHeight="1" x14ac:dyDescent="0.2">
      <c r="B900"/>
      <c r="C900" s="97"/>
    </row>
    <row r="901" spans="2:3" ht="15.75" customHeight="1" x14ac:dyDescent="0.2">
      <c r="B901"/>
      <c r="C901" s="97"/>
    </row>
    <row r="902" spans="2:3" ht="15.75" customHeight="1" x14ac:dyDescent="0.2">
      <c r="B902"/>
      <c r="C902" s="97"/>
    </row>
    <row r="903" spans="2:3" ht="15.75" customHeight="1" x14ac:dyDescent="0.2">
      <c r="B903"/>
      <c r="C903" s="97"/>
    </row>
    <row r="904" spans="2:3" ht="15.75" customHeight="1" x14ac:dyDescent="0.2">
      <c r="B904"/>
      <c r="C904" s="97"/>
    </row>
    <row r="905" spans="2:3" ht="15.75" customHeight="1" x14ac:dyDescent="0.2">
      <c r="B905"/>
      <c r="C905" s="97"/>
    </row>
    <row r="906" spans="2:3" ht="15.75" customHeight="1" x14ac:dyDescent="0.2">
      <c r="B906"/>
      <c r="C906" s="97"/>
    </row>
    <row r="907" spans="2:3" ht="15.75" customHeight="1" x14ac:dyDescent="0.2">
      <c r="B907"/>
      <c r="C907" s="97"/>
    </row>
    <row r="908" spans="2:3" ht="15.75" customHeight="1" x14ac:dyDescent="0.2">
      <c r="B908"/>
      <c r="C908" s="97"/>
    </row>
    <row r="909" spans="2:3" ht="15.75" customHeight="1" x14ac:dyDescent="0.2">
      <c r="B909"/>
      <c r="C909" s="97"/>
    </row>
    <row r="910" spans="2:3" ht="15.75" customHeight="1" x14ac:dyDescent="0.2">
      <c r="B910"/>
      <c r="C910" s="97"/>
    </row>
    <row r="911" spans="2:3" ht="15.75" customHeight="1" x14ac:dyDescent="0.2">
      <c r="B911"/>
      <c r="C911" s="97"/>
    </row>
    <row r="912" spans="2:3" ht="15.75" customHeight="1" x14ac:dyDescent="0.2">
      <c r="B912"/>
      <c r="C912" s="97"/>
    </row>
    <row r="913" spans="2:3" ht="15.75" customHeight="1" x14ac:dyDescent="0.2">
      <c r="B913"/>
      <c r="C913" s="97"/>
    </row>
    <row r="914" spans="2:3" ht="15.75" customHeight="1" x14ac:dyDescent="0.2">
      <c r="B914"/>
      <c r="C914" s="97"/>
    </row>
    <row r="915" spans="2:3" ht="15.75" customHeight="1" x14ac:dyDescent="0.2">
      <c r="B915"/>
      <c r="C915" s="97"/>
    </row>
    <row r="916" spans="2:3" ht="15.75" customHeight="1" x14ac:dyDescent="0.2">
      <c r="B916"/>
      <c r="C916" s="97"/>
    </row>
    <row r="917" spans="2:3" ht="15.75" customHeight="1" x14ac:dyDescent="0.2">
      <c r="B917"/>
      <c r="C917" s="97"/>
    </row>
    <row r="918" spans="2:3" ht="15.75" customHeight="1" x14ac:dyDescent="0.2">
      <c r="B918"/>
      <c r="C918" s="97"/>
    </row>
    <row r="919" spans="2:3" ht="15.75" customHeight="1" x14ac:dyDescent="0.2">
      <c r="B919"/>
      <c r="C919" s="97"/>
    </row>
    <row r="920" spans="2:3" ht="15.75" customHeight="1" x14ac:dyDescent="0.2">
      <c r="B920"/>
      <c r="C920" s="97"/>
    </row>
    <row r="921" spans="2:3" ht="15.75" customHeight="1" x14ac:dyDescent="0.2">
      <c r="B921"/>
      <c r="C921" s="97"/>
    </row>
    <row r="922" spans="2:3" ht="15.75" customHeight="1" x14ac:dyDescent="0.2">
      <c r="B922"/>
      <c r="C922" s="97"/>
    </row>
    <row r="923" spans="2:3" ht="15.75" customHeight="1" x14ac:dyDescent="0.2">
      <c r="B923"/>
      <c r="C923" s="97"/>
    </row>
    <row r="924" spans="2:3" ht="15.75" customHeight="1" x14ac:dyDescent="0.2">
      <c r="B924"/>
      <c r="C924" s="97"/>
    </row>
    <row r="925" spans="2:3" ht="15.75" customHeight="1" x14ac:dyDescent="0.2">
      <c r="B925"/>
      <c r="C925" s="97"/>
    </row>
    <row r="926" spans="2:3" ht="15.75" customHeight="1" x14ac:dyDescent="0.2">
      <c r="B926"/>
      <c r="C926" s="97"/>
    </row>
    <row r="927" spans="2:3" ht="15.75" customHeight="1" x14ac:dyDescent="0.2">
      <c r="B927"/>
      <c r="C927" s="97"/>
    </row>
    <row r="928" spans="2:3" ht="15.75" customHeight="1" x14ac:dyDescent="0.2">
      <c r="B928"/>
      <c r="C928" s="97"/>
    </row>
    <row r="929" spans="2:3" ht="15.75" customHeight="1" x14ac:dyDescent="0.2">
      <c r="B929"/>
      <c r="C929" s="97"/>
    </row>
    <row r="930" spans="2:3" ht="15.75" customHeight="1" x14ac:dyDescent="0.2">
      <c r="B930"/>
      <c r="C930" s="97"/>
    </row>
    <row r="931" spans="2:3" ht="15.75" customHeight="1" x14ac:dyDescent="0.2">
      <c r="B931"/>
      <c r="C931" s="97"/>
    </row>
    <row r="932" spans="2:3" ht="15.75" customHeight="1" x14ac:dyDescent="0.2">
      <c r="B932"/>
      <c r="C932" s="97"/>
    </row>
    <row r="933" spans="2:3" ht="15.75" customHeight="1" x14ac:dyDescent="0.2">
      <c r="B933"/>
      <c r="C933" s="97"/>
    </row>
    <row r="934" spans="2:3" ht="15.75" customHeight="1" x14ac:dyDescent="0.2">
      <c r="B934"/>
      <c r="C934" s="97"/>
    </row>
    <row r="935" spans="2:3" ht="15.75" customHeight="1" x14ac:dyDescent="0.2">
      <c r="B935"/>
      <c r="C935" s="97"/>
    </row>
    <row r="936" spans="2:3" ht="15.75" customHeight="1" x14ac:dyDescent="0.2">
      <c r="B936"/>
      <c r="C936" s="97"/>
    </row>
    <row r="937" spans="2:3" ht="15.75" customHeight="1" x14ac:dyDescent="0.2">
      <c r="B937"/>
      <c r="C937" s="97"/>
    </row>
    <row r="938" spans="2:3" ht="15.75" customHeight="1" x14ac:dyDescent="0.2">
      <c r="B938"/>
      <c r="C938" s="97"/>
    </row>
    <row r="939" spans="2:3" ht="15.75" customHeight="1" x14ac:dyDescent="0.2">
      <c r="B939"/>
      <c r="C939" s="97"/>
    </row>
    <row r="940" spans="2:3" ht="15.75" customHeight="1" x14ac:dyDescent="0.2">
      <c r="B940"/>
      <c r="C940" s="97"/>
    </row>
    <row r="941" spans="2:3" ht="15.75" customHeight="1" x14ac:dyDescent="0.2">
      <c r="B941"/>
      <c r="C941" s="97"/>
    </row>
    <row r="942" spans="2:3" ht="15.75" customHeight="1" x14ac:dyDescent="0.2">
      <c r="B942"/>
      <c r="C942" s="97"/>
    </row>
    <row r="943" spans="2:3" ht="15.75" customHeight="1" x14ac:dyDescent="0.2">
      <c r="B943"/>
      <c r="C943" s="97"/>
    </row>
    <row r="944" spans="2:3" ht="15.75" customHeight="1" x14ac:dyDescent="0.2">
      <c r="B944"/>
      <c r="C944" s="97"/>
    </row>
    <row r="945" spans="2:3" ht="15.75" customHeight="1" x14ac:dyDescent="0.2">
      <c r="B945"/>
      <c r="C945" s="97"/>
    </row>
    <row r="946" spans="2:3" ht="15.75" customHeight="1" x14ac:dyDescent="0.2">
      <c r="B946"/>
      <c r="C946" s="97"/>
    </row>
    <row r="947" spans="2:3" ht="15.75" customHeight="1" x14ac:dyDescent="0.2">
      <c r="B947"/>
      <c r="C947" s="97"/>
    </row>
    <row r="948" spans="2:3" ht="15.75" customHeight="1" x14ac:dyDescent="0.2">
      <c r="B948"/>
      <c r="C948" s="97"/>
    </row>
    <row r="949" spans="2:3" ht="15.75" customHeight="1" x14ac:dyDescent="0.2">
      <c r="B949"/>
      <c r="C949" s="97"/>
    </row>
    <row r="950" spans="2:3" ht="15.75" customHeight="1" x14ac:dyDescent="0.2">
      <c r="B950"/>
      <c r="C950" s="97"/>
    </row>
    <row r="951" spans="2:3" ht="15.75" customHeight="1" x14ac:dyDescent="0.2">
      <c r="B951"/>
      <c r="C951" s="97"/>
    </row>
    <row r="952" spans="2:3" ht="15.75" customHeight="1" x14ac:dyDescent="0.2">
      <c r="B952"/>
      <c r="C952" s="97"/>
    </row>
    <row r="953" spans="2:3" ht="15.75" customHeight="1" x14ac:dyDescent="0.2">
      <c r="B953"/>
      <c r="C953" s="97"/>
    </row>
    <row r="954" spans="2:3" ht="15.75" customHeight="1" x14ac:dyDescent="0.2">
      <c r="B954"/>
      <c r="C954" s="97"/>
    </row>
    <row r="955" spans="2:3" ht="15.75" customHeight="1" x14ac:dyDescent="0.2">
      <c r="B955"/>
      <c r="C955" s="97"/>
    </row>
    <row r="956" spans="2:3" ht="15.75" customHeight="1" x14ac:dyDescent="0.2">
      <c r="B956"/>
      <c r="C956" s="97"/>
    </row>
    <row r="957" spans="2:3" ht="15.75" customHeight="1" x14ac:dyDescent="0.2">
      <c r="B957"/>
      <c r="C957" s="97"/>
    </row>
    <row r="958" spans="2:3" ht="15.75" customHeight="1" x14ac:dyDescent="0.2">
      <c r="B958"/>
      <c r="C958" s="97"/>
    </row>
    <row r="959" spans="2:3" ht="15.75" customHeight="1" x14ac:dyDescent="0.2">
      <c r="B959"/>
      <c r="C959" s="97"/>
    </row>
    <row r="960" spans="2:3" ht="15.75" customHeight="1" x14ac:dyDescent="0.2">
      <c r="B960"/>
      <c r="C960" s="97"/>
    </row>
    <row r="961" spans="2:3" ht="15.75" customHeight="1" x14ac:dyDescent="0.2">
      <c r="B961"/>
      <c r="C961" s="97"/>
    </row>
    <row r="962" spans="2:3" ht="15.75" customHeight="1" x14ac:dyDescent="0.2">
      <c r="B962"/>
      <c r="C962" s="97"/>
    </row>
    <row r="963" spans="2:3" ht="15.75" customHeight="1" x14ac:dyDescent="0.2">
      <c r="B963"/>
      <c r="C963" s="97"/>
    </row>
    <row r="964" spans="2:3" ht="15.75" customHeight="1" x14ac:dyDescent="0.2">
      <c r="B964"/>
      <c r="C964" s="97"/>
    </row>
    <row r="965" spans="2:3" ht="15.75" customHeight="1" x14ac:dyDescent="0.2">
      <c r="B965"/>
      <c r="C965" s="97"/>
    </row>
    <row r="966" spans="2:3" ht="15.75" customHeight="1" x14ac:dyDescent="0.2">
      <c r="B966"/>
      <c r="C966" s="97"/>
    </row>
    <row r="967" spans="2:3" ht="15.75" customHeight="1" x14ac:dyDescent="0.2">
      <c r="B967"/>
      <c r="C967" s="97"/>
    </row>
    <row r="968" spans="2:3" ht="15.75" customHeight="1" x14ac:dyDescent="0.2">
      <c r="B968"/>
      <c r="C968" s="97"/>
    </row>
    <row r="969" spans="2:3" ht="15.75" customHeight="1" x14ac:dyDescent="0.2">
      <c r="B969"/>
      <c r="C969" s="97"/>
    </row>
    <row r="970" spans="2:3" ht="15.75" customHeight="1" x14ac:dyDescent="0.2">
      <c r="B970"/>
      <c r="C970" s="97"/>
    </row>
    <row r="971" spans="2:3" ht="15.75" customHeight="1" x14ac:dyDescent="0.2">
      <c r="B971"/>
      <c r="C971" s="97"/>
    </row>
    <row r="972" spans="2:3" ht="15.75" customHeight="1" x14ac:dyDescent="0.2">
      <c r="B972"/>
      <c r="C972" s="97"/>
    </row>
    <row r="973" spans="2:3" ht="15.75" customHeight="1" x14ac:dyDescent="0.2">
      <c r="B973"/>
      <c r="C973" s="97"/>
    </row>
    <row r="974" spans="2:3" ht="15.75" customHeight="1" x14ac:dyDescent="0.2">
      <c r="B974"/>
      <c r="C974" s="97"/>
    </row>
    <row r="975" spans="2:3" ht="15.75" customHeight="1" x14ac:dyDescent="0.2">
      <c r="B975"/>
      <c r="C975" s="97"/>
    </row>
    <row r="976" spans="2:3" ht="15.75" customHeight="1" x14ac:dyDescent="0.2">
      <c r="B976"/>
      <c r="C976" s="97"/>
    </row>
    <row r="977" spans="2:3" ht="15.75" customHeight="1" x14ac:dyDescent="0.2">
      <c r="B977"/>
      <c r="C977" s="97"/>
    </row>
    <row r="978" spans="2:3" ht="15.75" customHeight="1" x14ac:dyDescent="0.2">
      <c r="B978"/>
      <c r="C978" s="97"/>
    </row>
    <row r="979" spans="2:3" ht="15.75" customHeight="1" x14ac:dyDescent="0.2">
      <c r="B979"/>
      <c r="C979" s="97"/>
    </row>
    <row r="980" spans="2:3" ht="15.75" customHeight="1" x14ac:dyDescent="0.2">
      <c r="B980"/>
      <c r="C980" s="97"/>
    </row>
    <row r="981" spans="2:3" ht="15.75" customHeight="1" x14ac:dyDescent="0.2">
      <c r="B981"/>
      <c r="C981" s="97"/>
    </row>
    <row r="982" spans="2:3" ht="15.75" customHeight="1" x14ac:dyDescent="0.2">
      <c r="B982"/>
      <c r="C982" s="97"/>
    </row>
    <row r="983" spans="2:3" ht="15.75" customHeight="1" x14ac:dyDescent="0.2">
      <c r="B983"/>
      <c r="C983" s="97"/>
    </row>
    <row r="984" spans="2:3" ht="15.75" customHeight="1" x14ac:dyDescent="0.2">
      <c r="B984"/>
      <c r="C984" s="97"/>
    </row>
    <row r="985" spans="2:3" ht="15.75" customHeight="1" x14ac:dyDescent="0.2">
      <c r="B985"/>
      <c r="C985" s="97"/>
    </row>
    <row r="986" spans="2:3" ht="15.75" customHeight="1" x14ac:dyDescent="0.2">
      <c r="B986"/>
      <c r="C986" s="97"/>
    </row>
    <row r="987" spans="2:3" ht="15.75" customHeight="1" x14ac:dyDescent="0.2">
      <c r="B987"/>
      <c r="C987" s="97"/>
    </row>
    <row r="988" spans="2:3" ht="15.75" customHeight="1" x14ac:dyDescent="0.2">
      <c r="B988"/>
      <c r="C988" s="97"/>
    </row>
    <row r="989" spans="2:3" ht="15.75" customHeight="1" x14ac:dyDescent="0.2">
      <c r="B989"/>
      <c r="C989" s="97"/>
    </row>
    <row r="990" spans="2:3" ht="15.75" customHeight="1" x14ac:dyDescent="0.2">
      <c r="B990"/>
      <c r="C990" s="97"/>
    </row>
    <row r="991" spans="2:3" ht="15.75" customHeight="1" x14ac:dyDescent="0.2">
      <c r="B991"/>
      <c r="C991" s="97"/>
    </row>
    <row r="992" spans="2:3" ht="15.75" customHeight="1" x14ac:dyDescent="0.2">
      <c r="B992"/>
      <c r="C992" s="97"/>
    </row>
    <row r="993" spans="2:3" ht="15.75" customHeight="1" x14ac:dyDescent="0.2">
      <c r="B993"/>
      <c r="C993" s="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4" sqref="D104 D104"/>
    </sheetView>
  </sheetViews>
  <sheetFormatPr defaultColWidth="17.28515625" defaultRowHeight="15" customHeight="1" x14ac:dyDescent="0.2"/>
  <cols>
    <col min="1" max="1" width="18.7109375" style="102" customWidth="1"/>
    <col min="2" max="2" width="53.85546875" style="102" customWidth="1"/>
    <col min="3" max="3" width="18.7109375" style="110" customWidth="1"/>
    <col min="4" max="4" width="17.85546875" customWidth="1"/>
    <col min="5" max="5" width="8" customWidth="1"/>
    <col min="6" max="6" width="7.5703125" customWidth="1"/>
    <col min="7" max="21" width="8" customWidth="1"/>
  </cols>
  <sheetData>
    <row r="1" spans="1:24" s="1" customFormat="1" ht="15" customHeight="1" x14ac:dyDescent="0.2">
      <c r="A1" s="155" t="s">
        <v>48</v>
      </c>
      <c r="B1" s="157" t="s">
        <v>49</v>
      </c>
      <c r="C1" s="155" t="s">
        <v>34</v>
      </c>
      <c r="D1" s="158" t="s">
        <v>35</v>
      </c>
      <c r="E1" s="156" t="s">
        <v>50</v>
      </c>
      <c r="F1" s="159" t="s">
        <v>39</v>
      </c>
    </row>
    <row r="2" spans="1:24" ht="50.1" customHeight="1" x14ac:dyDescent="0.2">
      <c r="A2" s="325" t="s">
        <v>2886</v>
      </c>
      <c r="B2" s="339"/>
      <c r="C2" s="339"/>
      <c r="D2" s="339"/>
      <c r="E2" s="37"/>
      <c r="F2" s="37"/>
      <c r="G2" s="37"/>
      <c r="H2" s="37"/>
      <c r="I2" s="37"/>
      <c r="J2" s="37"/>
      <c r="K2" s="37"/>
      <c r="L2" s="37"/>
      <c r="M2" s="37"/>
      <c r="N2" s="37"/>
      <c r="O2" s="37"/>
      <c r="P2" s="37"/>
      <c r="Q2" s="37"/>
      <c r="R2" s="37"/>
      <c r="S2" s="37"/>
      <c r="T2" s="37"/>
      <c r="U2" s="37"/>
    </row>
    <row r="3" spans="1:24" s="31" customFormat="1" ht="48" customHeight="1" x14ac:dyDescent="0.2">
      <c r="A3" s="138" t="s">
        <v>1964</v>
      </c>
      <c r="B3" s="139" t="s">
        <v>41</v>
      </c>
      <c r="C3" s="140" t="s">
        <v>42</v>
      </c>
      <c r="D3" s="141" t="s">
        <v>2887</v>
      </c>
      <c r="E3" s="127"/>
      <c r="F3" s="127"/>
      <c r="G3" s="127"/>
      <c r="H3" s="127"/>
      <c r="I3" s="127"/>
      <c r="J3" s="127"/>
      <c r="K3" s="127"/>
      <c r="L3" s="127"/>
      <c r="M3" s="127"/>
      <c r="N3" s="127"/>
      <c r="O3" s="127"/>
      <c r="P3" s="127"/>
      <c r="Q3" s="127"/>
      <c r="R3" s="127"/>
      <c r="S3" s="127"/>
      <c r="T3" s="127"/>
      <c r="U3" s="127"/>
    </row>
    <row r="4" spans="1:24" s="233" customFormat="1" ht="12" customHeight="1" x14ac:dyDescent="0.2">
      <c r="A4" s="142">
        <v>1</v>
      </c>
      <c r="B4" s="144">
        <v>2</v>
      </c>
      <c r="C4" s="144" t="s">
        <v>56</v>
      </c>
      <c r="D4" s="227">
        <v>4</v>
      </c>
      <c r="E4" s="228"/>
      <c r="F4" s="228"/>
      <c r="G4" s="229"/>
      <c r="H4" s="228"/>
      <c r="I4" s="228"/>
      <c r="J4" s="228"/>
      <c r="K4" s="228"/>
      <c r="L4" s="228"/>
      <c r="M4" s="228"/>
      <c r="N4" s="228"/>
      <c r="O4" s="228"/>
      <c r="P4" s="228"/>
      <c r="Q4" s="228"/>
      <c r="R4" s="228"/>
      <c r="S4" s="228"/>
      <c r="T4" s="228"/>
      <c r="U4" s="228"/>
      <c r="V4" s="228"/>
      <c r="W4" s="228"/>
      <c r="X4" s="228"/>
    </row>
    <row r="5" spans="1:24" ht="24" customHeight="1" x14ac:dyDescent="0.2">
      <c r="A5" s="70"/>
      <c r="B5" s="86" t="s">
        <v>2888</v>
      </c>
      <c r="C5" s="90" t="s">
        <v>2889</v>
      </c>
      <c r="D5" s="285">
        <v>14059.82</v>
      </c>
      <c r="E5" s="36"/>
      <c r="F5" s="36"/>
      <c r="G5" s="36"/>
      <c r="H5" s="36"/>
      <c r="I5" s="36"/>
      <c r="J5" s="36"/>
      <c r="K5" s="36"/>
      <c r="L5" s="36"/>
      <c r="M5" s="36"/>
      <c r="N5" s="36"/>
      <c r="O5" s="36"/>
      <c r="P5" s="36"/>
      <c r="Q5" s="36"/>
      <c r="R5" s="36"/>
      <c r="S5" s="36"/>
      <c r="T5" s="36"/>
      <c r="U5" s="36"/>
    </row>
    <row r="6" spans="1:24" ht="24" customHeight="1" x14ac:dyDescent="0.2">
      <c r="A6" s="71"/>
      <c r="B6" s="72" t="s">
        <v>2890</v>
      </c>
      <c r="C6" s="91" t="s">
        <v>2891</v>
      </c>
      <c r="D6" s="286">
        <f>D7+D8+D17+D18</f>
        <v>1496538.2899999998</v>
      </c>
      <c r="E6" s="36"/>
      <c r="F6" s="36"/>
      <c r="G6" s="36"/>
      <c r="H6" s="36"/>
      <c r="I6" s="36"/>
      <c r="J6" s="36"/>
      <c r="K6" s="36"/>
      <c r="L6" s="36"/>
      <c r="M6" s="36"/>
      <c r="N6" s="36"/>
      <c r="O6" s="36"/>
      <c r="P6" s="36"/>
      <c r="Q6" s="36"/>
      <c r="R6" s="36"/>
      <c r="S6" s="36"/>
      <c r="T6" s="36"/>
      <c r="U6" s="36"/>
    </row>
    <row r="7" spans="1:24" ht="12.75" customHeight="1" x14ac:dyDescent="0.2">
      <c r="A7" s="71"/>
      <c r="B7" s="72" t="s">
        <v>2892</v>
      </c>
      <c r="C7" s="91" t="s">
        <v>2893</v>
      </c>
      <c r="D7" s="280">
        <v>0</v>
      </c>
      <c r="E7" s="36"/>
      <c r="F7" s="36"/>
      <c r="G7" s="36"/>
      <c r="H7" s="36"/>
      <c r="I7" s="36"/>
      <c r="J7" s="36"/>
      <c r="K7" s="36"/>
      <c r="L7" s="36"/>
      <c r="M7" s="36"/>
      <c r="N7" s="36"/>
      <c r="O7" s="36"/>
      <c r="P7" s="36"/>
      <c r="Q7" s="36"/>
      <c r="R7" s="36"/>
      <c r="S7" s="36"/>
      <c r="T7" s="36"/>
      <c r="U7" s="36"/>
    </row>
    <row r="8" spans="1:24" ht="12.75" customHeight="1" x14ac:dyDescent="0.2">
      <c r="A8" s="71" t="s">
        <v>2291</v>
      </c>
      <c r="B8" s="72" t="s">
        <v>2894</v>
      </c>
      <c r="C8" s="91" t="s">
        <v>2895</v>
      </c>
      <c r="D8" s="286">
        <f>SUM(D9:D16)</f>
        <v>395455.20999999996</v>
      </c>
      <c r="E8" s="36"/>
      <c r="F8" s="36"/>
      <c r="G8" s="36"/>
      <c r="H8" s="36"/>
      <c r="I8" s="36"/>
      <c r="J8" s="36"/>
      <c r="K8" s="36"/>
      <c r="L8" s="36"/>
      <c r="M8" s="36"/>
      <c r="N8" s="36"/>
      <c r="O8" s="36"/>
      <c r="P8" s="36"/>
      <c r="Q8" s="36"/>
      <c r="R8" s="36"/>
      <c r="S8" s="36"/>
      <c r="T8" s="36"/>
      <c r="U8" s="36"/>
    </row>
    <row r="9" spans="1:24" ht="12.75" customHeight="1" x14ac:dyDescent="0.2">
      <c r="A9" s="230" t="s">
        <v>2293</v>
      </c>
      <c r="B9" s="150" t="s">
        <v>2294</v>
      </c>
      <c r="C9" s="91" t="s">
        <v>2896</v>
      </c>
      <c r="D9" s="280">
        <v>89855.74</v>
      </c>
      <c r="E9" s="36"/>
      <c r="F9" s="36"/>
      <c r="G9" s="36"/>
      <c r="H9" s="36"/>
      <c r="I9" s="36"/>
      <c r="J9" s="36"/>
      <c r="K9" s="36"/>
      <c r="L9" s="36"/>
      <c r="M9" s="36"/>
      <c r="N9" s="36"/>
      <c r="O9" s="36"/>
      <c r="P9" s="36"/>
      <c r="Q9" s="36"/>
      <c r="R9" s="36"/>
      <c r="S9" s="36"/>
      <c r="T9" s="36"/>
      <c r="U9" s="36"/>
    </row>
    <row r="10" spans="1:24" ht="12.75" customHeight="1" x14ac:dyDescent="0.2">
      <c r="A10" s="230" t="s">
        <v>2295</v>
      </c>
      <c r="B10" s="150" t="s">
        <v>2296</v>
      </c>
      <c r="C10" s="91" t="s">
        <v>2897</v>
      </c>
      <c r="D10" s="280">
        <v>267182.46999999997</v>
      </c>
      <c r="E10" s="36"/>
      <c r="F10" s="36"/>
      <c r="G10" s="36"/>
      <c r="H10" s="36"/>
      <c r="I10" s="36"/>
      <c r="J10" s="36"/>
      <c r="K10" s="36"/>
      <c r="L10" s="36"/>
      <c r="M10" s="36"/>
      <c r="N10" s="36"/>
      <c r="O10" s="36"/>
      <c r="P10" s="36"/>
      <c r="Q10" s="36"/>
      <c r="R10" s="36"/>
      <c r="S10" s="36"/>
      <c r="T10" s="36"/>
      <c r="U10" s="36"/>
    </row>
    <row r="11" spans="1:24" ht="12.75" customHeight="1" x14ac:dyDescent="0.2">
      <c r="A11" s="230" t="s">
        <v>2297</v>
      </c>
      <c r="B11" s="150" t="s">
        <v>2898</v>
      </c>
      <c r="C11" s="91" t="s">
        <v>2899</v>
      </c>
      <c r="D11" s="280">
        <v>0</v>
      </c>
      <c r="E11" s="36"/>
      <c r="F11" s="36"/>
      <c r="G11" s="36"/>
      <c r="H11" s="36"/>
      <c r="I11" s="36"/>
      <c r="J11" s="36"/>
      <c r="K11" s="36"/>
      <c r="L11" s="36"/>
      <c r="M11" s="36"/>
      <c r="N11" s="36"/>
      <c r="O11" s="36"/>
      <c r="P11" s="36"/>
      <c r="Q11" s="36"/>
      <c r="R11" s="36"/>
      <c r="S11" s="36"/>
      <c r="T11" s="36"/>
      <c r="U11" s="36"/>
    </row>
    <row r="12" spans="1:24" ht="12.75" customHeight="1" x14ac:dyDescent="0.2">
      <c r="A12" s="230" t="s">
        <v>2305</v>
      </c>
      <c r="B12" s="150" t="s">
        <v>2306</v>
      </c>
      <c r="C12" s="91" t="s">
        <v>2900</v>
      </c>
      <c r="D12" s="280">
        <v>0</v>
      </c>
      <c r="E12" s="36"/>
      <c r="F12" s="36"/>
      <c r="G12" s="36"/>
      <c r="H12" s="36"/>
      <c r="I12" s="36"/>
      <c r="J12" s="36"/>
      <c r="K12" s="36"/>
      <c r="L12" s="36"/>
      <c r="M12" s="36"/>
      <c r="N12" s="36"/>
      <c r="O12" s="36"/>
      <c r="P12" s="36"/>
      <c r="Q12" s="36"/>
      <c r="R12" s="36"/>
      <c r="S12" s="36"/>
      <c r="T12" s="36"/>
      <c r="U12" s="36"/>
    </row>
    <row r="13" spans="1:24" ht="24" customHeight="1" x14ac:dyDescent="0.2">
      <c r="A13" s="230" t="s">
        <v>2307</v>
      </c>
      <c r="B13" s="150" t="s">
        <v>2901</v>
      </c>
      <c r="C13" s="91" t="s">
        <v>2902</v>
      </c>
      <c r="D13" s="280">
        <v>0</v>
      </c>
      <c r="E13" s="36"/>
      <c r="F13" s="36"/>
      <c r="G13" s="36"/>
      <c r="H13" s="36"/>
      <c r="I13" s="36"/>
      <c r="J13" s="36"/>
      <c r="K13" s="36"/>
      <c r="L13" s="36"/>
      <c r="M13" s="36"/>
      <c r="N13" s="36"/>
      <c r="O13" s="36"/>
      <c r="P13" s="36"/>
      <c r="Q13" s="36"/>
      <c r="R13" s="36"/>
      <c r="S13" s="36"/>
      <c r="T13" s="36"/>
      <c r="U13" s="36"/>
    </row>
    <row r="14" spans="1:24" ht="12.75" customHeight="1" x14ac:dyDescent="0.2">
      <c r="A14" s="230" t="s">
        <v>2309</v>
      </c>
      <c r="B14" s="150" t="s">
        <v>2310</v>
      </c>
      <c r="C14" s="91" t="s">
        <v>2903</v>
      </c>
      <c r="D14" s="280">
        <v>19955.919999999998</v>
      </c>
      <c r="E14" s="36"/>
      <c r="F14" s="36"/>
      <c r="G14" s="36"/>
      <c r="H14" s="36"/>
      <c r="I14" s="36"/>
      <c r="J14" s="36"/>
      <c r="K14" s="36"/>
      <c r="L14" s="36"/>
      <c r="M14" s="36"/>
      <c r="N14" s="36"/>
      <c r="O14" s="36"/>
      <c r="P14" s="36"/>
      <c r="Q14" s="36"/>
      <c r="R14" s="36"/>
      <c r="S14" s="36"/>
      <c r="T14" s="36"/>
      <c r="U14" s="36"/>
    </row>
    <row r="15" spans="1:24" ht="12.75" customHeight="1" x14ac:dyDescent="0.2">
      <c r="A15" s="230" t="s">
        <v>2311</v>
      </c>
      <c r="B15" s="150" t="s">
        <v>2312</v>
      </c>
      <c r="C15" s="91" t="s">
        <v>2904</v>
      </c>
      <c r="D15" s="280">
        <v>8087.31</v>
      </c>
      <c r="E15" s="36"/>
      <c r="F15" s="36"/>
      <c r="G15" s="36"/>
      <c r="H15" s="36"/>
      <c r="I15" s="36"/>
      <c r="J15" s="36"/>
      <c r="K15" s="36"/>
      <c r="L15" s="36"/>
      <c r="M15" s="36"/>
      <c r="N15" s="36"/>
      <c r="O15" s="36"/>
      <c r="P15" s="36"/>
      <c r="Q15" s="36"/>
      <c r="R15" s="36"/>
      <c r="S15" s="36"/>
      <c r="T15" s="36"/>
      <c r="U15" s="36"/>
    </row>
    <row r="16" spans="1:24" ht="12.75" customHeight="1" x14ac:dyDescent="0.2">
      <c r="A16" s="230" t="s">
        <v>2313</v>
      </c>
      <c r="B16" s="150" t="s">
        <v>2314</v>
      </c>
      <c r="C16" s="91" t="s">
        <v>2905</v>
      </c>
      <c r="D16" s="280">
        <v>10373.77</v>
      </c>
      <c r="E16" s="36"/>
      <c r="F16" s="36"/>
      <c r="G16" s="36"/>
      <c r="H16" s="36"/>
      <c r="I16" s="36"/>
      <c r="J16" s="36"/>
      <c r="K16" s="36"/>
      <c r="L16" s="36"/>
      <c r="M16" s="36"/>
      <c r="N16" s="36"/>
      <c r="O16" s="36"/>
      <c r="P16" s="36"/>
      <c r="Q16" s="36"/>
      <c r="R16" s="36"/>
      <c r="S16" s="36"/>
      <c r="T16" s="36"/>
      <c r="U16" s="36"/>
    </row>
    <row r="17" spans="1:21" ht="12.75" customHeight="1" x14ac:dyDescent="0.2">
      <c r="A17" s="71" t="s">
        <v>2315</v>
      </c>
      <c r="B17" s="72" t="s">
        <v>2316</v>
      </c>
      <c r="C17" s="91" t="s">
        <v>2906</v>
      </c>
      <c r="D17" s="280">
        <v>765868.38</v>
      </c>
      <c r="E17" s="36"/>
      <c r="F17" s="36"/>
      <c r="G17" s="36"/>
      <c r="H17" s="36"/>
      <c r="I17" s="36"/>
      <c r="J17" s="36"/>
      <c r="K17" s="36"/>
      <c r="L17" s="36"/>
      <c r="M17" s="36"/>
      <c r="N17" s="36"/>
      <c r="O17" s="36"/>
      <c r="P17" s="36"/>
      <c r="Q17" s="36"/>
      <c r="R17" s="36"/>
      <c r="S17" s="36"/>
      <c r="T17" s="36"/>
      <c r="U17" s="36"/>
    </row>
    <row r="18" spans="1:21" ht="36" customHeight="1" x14ac:dyDescent="0.2">
      <c r="A18" s="71" t="s">
        <v>2907</v>
      </c>
      <c r="B18" s="72" t="s">
        <v>2908</v>
      </c>
      <c r="C18" s="91" t="s">
        <v>2909</v>
      </c>
      <c r="D18" s="286">
        <f>SUM(D19:D23)</f>
        <v>335214.7</v>
      </c>
      <c r="E18" s="36"/>
      <c r="F18" s="36"/>
      <c r="G18" s="36"/>
      <c r="H18" s="36"/>
      <c r="I18" s="36"/>
      <c r="J18" s="36"/>
      <c r="K18" s="36"/>
      <c r="L18" s="36"/>
      <c r="M18" s="36"/>
      <c r="N18" s="36"/>
      <c r="O18" s="36"/>
      <c r="P18" s="36"/>
      <c r="Q18" s="36"/>
      <c r="R18" s="36"/>
      <c r="S18" s="36"/>
      <c r="T18" s="36"/>
      <c r="U18" s="36"/>
    </row>
    <row r="19" spans="1:21" ht="12.75" customHeight="1" x14ac:dyDescent="0.2">
      <c r="A19" s="230" t="s">
        <v>2910</v>
      </c>
      <c r="B19" s="150" t="s">
        <v>2911</v>
      </c>
      <c r="C19" s="91" t="s">
        <v>2912</v>
      </c>
      <c r="D19" s="280">
        <v>0</v>
      </c>
      <c r="E19" s="36"/>
      <c r="F19" s="36"/>
      <c r="G19" s="36"/>
      <c r="H19" s="36"/>
      <c r="I19" s="36"/>
      <c r="J19" s="36"/>
      <c r="K19" s="36"/>
      <c r="L19" s="36"/>
      <c r="M19" s="36"/>
      <c r="N19" s="36"/>
      <c r="O19" s="36"/>
      <c r="P19" s="36"/>
      <c r="Q19" s="36"/>
      <c r="R19" s="36"/>
      <c r="S19" s="36"/>
      <c r="T19" s="36"/>
      <c r="U19" s="36"/>
    </row>
    <row r="20" spans="1:21" ht="12.75" customHeight="1" x14ac:dyDescent="0.2">
      <c r="A20" s="230" t="s">
        <v>2913</v>
      </c>
      <c r="B20" s="150" t="s">
        <v>2328</v>
      </c>
      <c r="C20" s="91" t="s">
        <v>2914</v>
      </c>
      <c r="D20" s="280">
        <v>0</v>
      </c>
      <c r="E20" s="36"/>
      <c r="F20" s="36"/>
      <c r="G20" s="36"/>
      <c r="H20" s="36"/>
      <c r="I20" s="36"/>
      <c r="J20" s="36"/>
      <c r="K20" s="36"/>
      <c r="L20" s="36"/>
      <c r="M20" s="36"/>
      <c r="N20" s="36"/>
      <c r="O20" s="36"/>
      <c r="P20" s="36"/>
      <c r="Q20" s="36"/>
      <c r="R20" s="36"/>
      <c r="S20" s="36"/>
      <c r="T20" s="36"/>
      <c r="U20" s="36"/>
    </row>
    <row r="21" spans="1:21" ht="12.75" customHeight="1" x14ac:dyDescent="0.2">
      <c r="A21" s="230" t="s">
        <v>2915</v>
      </c>
      <c r="B21" s="150" t="s">
        <v>2332</v>
      </c>
      <c r="C21" s="91" t="s">
        <v>2916</v>
      </c>
      <c r="D21" s="280">
        <v>0</v>
      </c>
      <c r="E21" s="36"/>
      <c r="F21" s="36"/>
      <c r="G21" s="36"/>
      <c r="H21" s="36"/>
      <c r="I21" s="36"/>
      <c r="J21" s="36"/>
      <c r="K21" s="36"/>
      <c r="L21" s="36"/>
      <c r="M21" s="36"/>
      <c r="N21" s="36"/>
      <c r="O21" s="36"/>
      <c r="P21" s="36"/>
      <c r="Q21" s="36"/>
      <c r="R21" s="36"/>
      <c r="S21" s="36"/>
      <c r="T21" s="36"/>
      <c r="U21" s="36"/>
    </row>
    <row r="22" spans="1:21" ht="24" customHeight="1" x14ac:dyDescent="0.2">
      <c r="A22" s="230" t="s">
        <v>2917</v>
      </c>
      <c r="B22" s="150" t="s">
        <v>2918</v>
      </c>
      <c r="C22" s="91" t="s">
        <v>2919</v>
      </c>
      <c r="D22" s="280">
        <v>335214.7</v>
      </c>
      <c r="E22" s="36"/>
      <c r="F22" s="36"/>
      <c r="G22" s="36"/>
      <c r="H22" s="36"/>
      <c r="I22" s="36"/>
      <c r="J22" s="36"/>
      <c r="K22" s="36"/>
      <c r="L22" s="36"/>
      <c r="M22" s="36"/>
      <c r="N22" s="36"/>
      <c r="O22" s="36"/>
      <c r="P22" s="36"/>
      <c r="Q22" s="36"/>
      <c r="R22" s="36"/>
      <c r="S22" s="36"/>
      <c r="T22" s="36"/>
      <c r="U22" s="36"/>
    </row>
    <row r="23" spans="1:21" ht="24" customHeight="1" x14ac:dyDescent="0.2">
      <c r="A23" s="230" t="s">
        <v>2920</v>
      </c>
      <c r="B23" s="150" t="s">
        <v>2921</v>
      </c>
      <c r="C23" s="91" t="s">
        <v>2922</v>
      </c>
      <c r="D23" s="280">
        <v>0</v>
      </c>
      <c r="E23" s="36"/>
      <c r="F23" s="36"/>
      <c r="G23" s="36"/>
      <c r="H23" s="36"/>
      <c r="I23" s="36"/>
      <c r="J23" s="36"/>
      <c r="K23" s="36"/>
      <c r="L23" s="36"/>
      <c r="M23" s="36"/>
      <c r="N23" s="36"/>
      <c r="O23" s="36"/>
      <c r="P23" s="36"/>
      <c r="Q23" s="36"/>
      <c r="R23" s="36"/>
      <c r="S23" s="36"/>
      <c r="T23" s="36"/>
      <c r="U23" s="36"/>
    </row>
    <row r="24" spans="1:21" ht="24" customHeight="1" x14ac:dyDescent="0.2">
      <c r="A24" s="230"/>
      <c r="B24" s="72" t="s">
        <v>2923</v>
      </c>
      <c r="C24" s="91" t="s">
        <v>2924</v>
      </c>
      <c r="D24" s="286">
        <f>D25+D26+D35+D36</f>
        <v>1103174.71</v>
      </c>
      <c r="E24" s="36"/>
      <c r="F24" s="36"/>
      <c r="G24" s="36"/>
      <c r="H24" s="36"/>
      <c r="I24" s="36"/>
      <c r="J24" s="36"/>
      <c r="K24" s="36"/>
      <c r="L24" s="36"/>
      <c r="M24" s="36"/>
      <c r="N24" s="36"/>
      <c r="O24" s="36"/>
      <c r="P24" s="36"/>
      <c r="Q24" s="36"/>
      <c r="R24" s="36"/>
      <c r="S24" s="36"/>
      <c r="T24" s="36"/>
      <c r="U24" s="36"/>
    </row>
    <row r="25" spans="1:21" ht="12.75" customHeight="1" x14ac:dyDescent="0.2">
      <c r="A25" s="230"/>
      <c r="B25" s="72" t="s">
        <v>2892</v>
      </c>
      <c r="C25" s="91" t="s">
        <v>2925</v>
      </c>
      <c r="D25" s="280">
        <v>0</v>
      </c>
      <c r="E25" s="36"/>
      <c r="F25" s="36"/>
      <c r="G25" s="36"/>
      <c r="H25" s="36"/>
      <c r="I25" s="36"/>
      <c r="J25" s="36"/>
      <c r="K25" s="36"/>
      <c r="L25" s="36"/>
      <c r="M25" s="36"/>
      <c r="N25" s="36"/>
      <c r="O25" s="36"/>
      <c r="P25" s="36"/>
      <c r="Q25" s="36"/>
      <c r="R25" s="36"/>
      <c r="S25" s="36"/>
      <c r="T25" s="36"/>
      <c r="U25" s="36"/>
    </row>
    <row r="26" spans="1:21" ht="12.75" customHeight="1" x14ac:dyDescent="0.2">
      <c r="A26" s="71" t="s">
        <v>2291</v>
      </c>
      <c r="B26" s="72" t="s">
        <v>2926</v>
      </c>
      <c r="C26" s="91" t="s">
        <v>2927</v>
      </c>
      <c r="D26" s="286">
        <f>SUM(D27:D34)</f>
        <v>395402.82999999996</v>
      </c>
      <c r="E26" s="36"/>
      <c r="F26" s="36"/>
      <c r="G26" s="36"/>
      <c r="H26" s="36"/>
      <c r="I26" s="36"/>
      <c r="J26" s="36"/>
      <c r="K26" s="36"/>
      <c r="L26" s="36"/>
      <c r="M26" s="36"/>
      <c r="N26" s="36"/>
      <c r="O26" s="36"/>
      <c r="P26" s="36"/>
      <c r="Q26" s="36"/>
      <c r="R26" s="36"/>
      <c r="S26" s="36"/>
      <c r="T26" s="36"/>
      <c r="U26" s="36"/>
    </row>
    <row r="27" spans="1:21" ht="12.75" customHeight="1" x14ac:dyDescent="0.2">
      <c r="A27" s="230" t="s">
        <v>2293</v>
      </c>
      <c r="B27" s="150" t="s">
        <v>2294</v>
      </c>
      <c r="C27" s="91" t="s">
        <v>2928</v>
      </c>
      <c r="D27" s="280">
        <v>89855.74</v>
      </c>
      <c r="E27" s="36"/>
      <c r="F27" s="36"/>
      <c r="G27" s="36"/>
      <c r="H27" s="36"/>
      <c r="I27" s="36"/>
      <c r="J27" s="36"/>
      <c r="K27" s="36"/>
      <c r="L27" s="36"/>
      <c r="M27" s="36"/>
      <c r="N27" s="36"/>
      <c r="O27" s="36"/>
      <c r="P27" s="36"/>
      <c r="Q27" s="36"/>
      <c r="R27" s="36"/>
      <c r="S27" s="36"/>
      <c r="T27" s="36"/>
      <c r="U27" s="36"/>
    </row>
    <row r="28" spans="1:21" ht="12.75" customHeight="1" x14ac:dyDescent="0.2">
      <c r="A28" s="230" t="s">
        <v>2295</v>
      </c>
      <c r="B28" s="150" t="s">
        <v>2296</v>
      </c>
      <c r="C28" s="91" t="s">
        <v>2929</v>
      </c>
      <c r="D28" s="280">
        <v>266259.84999999998</v>
      </c>
      <c r="E28" s="36"/>
      <c r="F28" s="36"/>
      <c r="G28" s="36"/>
      <c r="H28" s="36"/>
      <c r="I28" s="36"/>
      <c r="J28" s="36"/>
      <c r="K28" s="36"/>
      <c r="L28" s="36"/>
      <c r="M28" s="36"/>
      <c r="N28" s="36"/>
      <c r="O28" s="36"/>
      <c r="P28" s="36"/>
      <c r="Q28" s="36"/>
      <c r="R28" s="36"/>
      <c r="S28" s="36"/>
      <c r="T28" s="36"/>
      <c r="U28" s="36"/>
    </row>
    <row r="29" spans="1:21" ht="12.75" customHeight="1" x14ac:dyDescent="0.2">
      <c r="A29" s="230" t="s">
        <v>2297</v>
      </c>
      <c r="B29" s="150" t="s">
        <v>2898</v>
      </c>
      <c r="C29" s="91" t="s">
        <v>2930</v>
      </c>
      <c r="D29" s="280">
        <v>0</v>
      </c>
      <c r="E29" s="36"/>
      <c r="F29" s="36"/>
      <c r="G29" s="36"/>
      <c r="H29" s="36"/>
      <c r="I29" s="36"/>
      <c r="J29" s="36"/>
      <c r="K29" s="36"/>
      <c r="L29" s="36"/>
      <c r="M29" s="36"/>
      <c r="N29" s="36"/>
      <c r="O29" s="36"/>
      <c r="P29" s="36"/>
      <c r="Q29" s="36"/>
      <c r="R29" s="36"/>
      <c r="S29" s="36"/>
      <c r="T29" s="36"/>
      <c r="U29" s="36"/>
    </row>
    <row r="30" spans="1:21" ht="12.75" customHeight="1" x14ac:dyDescent="0.2">
      <c r="A30" s="230" t="s">
        <v>2305</v>
      </c>
      <c r="B30" s="150" t="s">
        <v>2306</v>
      </c>
      <c r="C30" s="91" t="s">
        <v>2931</v>
      </c>
      <c r="D30" s="280">
        <v>0</v>
      </c>
      <c r="E30" s="36"/>
      <c r="F30" s="36"/>
      <c r="G30" s="36"/>
      <c r="H30" s="36"/>
      <c r="I30" s="36"/>
      <c r="J30" s="36"/>
      <c r="K30" s="36"/>
      <c r="L30" s="36"/>
      <c r="M30" s="36"/>
      <c r="N30" s="36"/>
      <c r="O30" s="36"/>
      <c r="P30" s="36"/>
      <c r="Q30" s="36"/>
      <c r="R30" s="36"/>
      <c r="S30" s="36"/>
      <c r="T30" s="36"/>
      <c r="U30" s="36"/>
    </row>
    <row r="31" spans="1:21" ht="24" customHeight="1" x14ac:dyDescent="0.2">
      <c r="A31" s="230" t="s">
        <v>2307</v>
      </c>
      <c r="B31" s="150" t="s">
        <v>2901</v>
      </c>
      <c r="C31" s="91" t="s">
        <v>2932</v>
      </c>
      <c r="D31" s="280">
        <v>0</v>
      </c>
      <c r="E31" s="36"/>
      <c r="F31" s="36"/>
      <c r="G31" s="36"/>
      <c r="H31" s="36"/>
      <c r="I31" s="36"/>
      <c r="J31" s="36"/>
      <c r="K31" s="36"/>
      <c r="L31" s="36"/>
      <c r="M31" s="36"/>
      <c r="N31" s="36"/>
      <c r="O31" s="36"/>
      <c r="P31" s="36"/>
      <c r="Q31" s="36"/>
      <c r="R31" s="36"/>
      <c r="S31" s="36"/>
      <c r="T31" s="36"/>
      <c r="U31" s="36"/>
    </row>
    <row r="32" spans="1:21" ht="12.75" customHeight="1" x14ac:dyDescent="0.2">
      <c r="A32" s="230" t="s">
        <v>2309</v>
      </c>
      <c r="B32" s="150" t="s">
        <v>2310</v>
      </c>
      <c r="C32" s="91" t="s">
        <v>2933</v>
      </c>
      <c r="D32" s="280">
        <v>20374.52</v>
      </c>
      <c r="E32" s="36"/>
      <c r="F32" s="36"/>
      <c r="G32" s="36"/>
      <c r="H32" s="36"/>
      <c r="I32" s="36"/>
      <c r="J32" s="36"/>
      <c r="K32" s="36"/>
      <c r="L32" s="36"/>
      <c r="M32" s="36"/>
      <c r="N32" s="36"/>
      <c r="O32" s="36"/>
      <c r="P32" s="36"/>
      <c r="Q32" s="36"/>
      <c r="R32" s="36"/>
      <c r="S32" s="36"/>
      <c r="T32" s="36"/>
      <c r="U32" s="36"/>
    </row>
    <row r="33" spans="1:21" ht="12.75" customHeight="1" x14ac:dyDescent="0.2">
      <c r="A33" s="230" t="s">
        <v>2311</v>
      </c>
      <c r="B33" s="150" t="s">
        <v>2312</v>
      </c>
      <c r="C33" s="91" t="s">
        <v>2934</v>
      </c>
      <c r="D33" s="280">
        <v>8087.31</v>
      </c>
      <c r="E33" s="36"/>
      <c r="F33" s="36"/>
      <c r="G33" s="36"/>
      <c r="H33" s="36"/>
      <c r="I33" s="36"/>
      <c r="J33" s="36"/>
      <c r="K33" s="36"/>
      <c r="L33" s="36"/>
      <c r="M33" s="36"/>
      <c r="N33" s="36"/>
      <c r="O33" s="36"/>
      <c r="P33" s="36"/>
      <c r="Q33" s="36"/>
      <c r="R33" s="36"/>
      <c r="S33" s="36"/>
      <c r="T33" s="36"/>
      <c r="U33" s="36"/>
    </row>
    <row r="34" spans="1:21" ht="12.75" customHeight="1" x14ac:dyDescent="0.2">
      <c r="A34" s="230" t="s">
        <v>2313</v>
      </c>
      <c r="B34" s="150" t="s">
        <v>2314</v>
      </c>
      <c r="C34" s="91" t="s">
        <v>2935</v>
      </c>
      <c r="D34" s="280">
        <v>10825.41</v>
      </c>
      <c r="E34" s="36"/>
      <c r="F34" s="36"/>
      <c r="G34" s="36"/>
      <c r="H34" s="36"/>
      <c r="I34" s="36"/>
      <c r="J34" s="36"/>
      <c r="K34" s="36"/>
      <c r="L34" s="36"/>
      <c r="M34" s="36"/>
      <c r="N34" s="36"/>
      <c r="O34" s="36"/>
      <c r="P34" s="36"/>
      <c r="Q34" s="36"/>
      <c r="R34" s="36"/>
      <c r="S34" s="36"/>
      <c r="T34" s="36"/>
      <c r="U34" s="36"/>
    </row>
    <row r="35" spans="1:21" ht="12.75" customHeight="1" x14ac:dyDescent="0.2">
      <c r="A35" s="71" t="s">
        <v>2315</v>
      </c>
      <c r="B35" s="72" t="s">
        <v>2316</v>
      </c>
      <c r="C35" s="91" t="s">
        <v>2936</v>
      </c>
      <c r="D35" s="280">
        <v>705051.18</v>
      </c>
      <c r="E35" s="36"/>
      <c r="F35" s="36"/>
      <c r="G35" s="36"/>
      <c r="H35" s="36"/>
      <c r="I35" s="36"/>
      <c r="J35" s="36"/>
      <c r="K35" s="36"/>
      <c r="L35" s="36"/>
      <c r="M35" s="36"/>
      <c r="N35" s="36"/>
      <c r="O35" s="36"/>
      <c r="P35" s="36"/>
      <c r="Q35" s="36"/>
      <c r="R35" s="36"/>
      <c r="S35" s="36"/>
      <c r="T35" s="36"/>
      <c r="U35" s="36"/>
    </row>
    <row r="36" spans="1:21" ht="36" customHeight="1" x14ac:dyDescent="0.2">
      <c r="A36" s="71" t="s">
        <v>2907</v>
      </c>
      <c r="B36" s="72" t="s">
        <v>2937</v>
      </c>
      <c r="C36" s="91" t="s">
        <v>2938</v>
      </c>
      <c r="D36" s="286">
        <f>SUM(D37:D41)</f>
        <v>2720.7</v>
      </c>
      <c r="E36" s="36"/>
      <c r="F36" s="36"/>
      <c r="G36" s="36"/>
      <c r="H36" s="36"/>
      <c r="I36" s="36"/>
      <c r="J36" s="36"/>
      <c r="K36" s="36"/>
      <c r="L36" s="36"/>
      <c r="M36" s="36"/>
      <c r="N36" s="36"/>
      <c r="O36" s="36"/>
      <c r="P36" s="36"/>
      <c r="Q36" s="36"/>
      <c r="R36" s="36"/>
      <c r="S36" s="36"/>
      <c r="T36" s="36"/>
      <c r="U36" s="36"/>
    </row>
    <row r="37" spans="1:21" ht="12.75" customHeight="1" x14ac:dyDescent="0.2">
      <c r="A37" s="230" t="s">
        <v>2910</v>
      </c>
      <c r="B37" s="150" t="s">
        <v>2911</v>
      </c>
      <c r="C37" s="91" t="s">
        <v>2939</v>
      </c>
      <c r="D37" s="280">
        <v>0</v>
      </c>
      <c r="E37" s="36"/>
      <c r="F37" s="36"/>
      <c r="G37" s="36"/>
      <c r="H37" s="36"/>
      <c r="I37" s="36"/>
      <c r="J37" s="36"/>
      <c r="K37" s="36"/>
      <c r="L37" s="36"/>
      <c r="M37" s="36"/>
      <c r="N37" s="36"/>
      <c r="O37" s="36"/>
      <c r="P37" s="36"/>
      <c r="Q37" s="36"/>
      <c r="R37" s="36"/>
      <c r="S37" s="36"/>
      <c r="T37" s="36"/>
      <c r="U37" s="36"/>
    </row>
    <row r="38" spans="1:21" ht="12.75" customHeight="1" x14ac:dyDescent="0.2">
      <c r="A38" s="230" t="s">
        <v>2913</v>
      </c>
      <c r="B38" s="150" t="s">
        <v>2328</v>
      </c>
      <c r="C38" s="91" t="s">
        <v>2940</v>
      </c>
      <c r="D38" s="280">
        <v>0</v>
      </c>
      <c r="E38" s="36"/>
      <c r="F38" s="36"/>
      <c r="G38" s="36"/>
      <c r="H38" s="36"/>
      <c r="I38" s="36"/>
      <c r="J38" s="36"/>
      <c r="K38" s="36"/>
      <c r="L38" s="36"/>
      <c r="M38" s="36"/>
      <c r="N38" s="36"/>
      <c r="O38" s="36"/>
      <c r="P38" s="36"/>
      <c r="Q38" s="36"/>
      <c r="R38" s="36"/>
      <c r="S38" s="36"/>
      <c r="T38" s="36"/>
      <c r="U38" s="36"/>
    </row>
    <row r="39" spans="1:21" ht="12.75" customHeight="1" x14ac:dyDescent="0.2">
      <c r="A39" s="230" t="s">
        <v>2915</v>
      </c>
      <c r="B39" s="150" t="s">
        <v>2332</v>
      </c>
      <c r="C39" s="91" t="s">
        <v>2941</v>
      </c>
      <c r="D39" s="280">
        <v>0</v>
      </c>
      <c r="E39" s="36"/>
      <c r="F39" s="36"/>
      <c r="G39" s="36"/>
      <c r="H39" s="36"/>
      <c r="I39" s="36"/>
      <c r="J39" s="36"/>
      <c r="K39" s="36"/>
      <c r="L39" s="36"/>
      <c r="M39" s="36"/>
      <c r="N39" s="36"/>
      <c r="O39" s="36"/>
      <c r="P39" s="36"/>
      <c r="Q39" s="36"/>
      <c r="R39" s="36"/>
      <c r="S39" s="36"/>
      <c r="T39" s="36"/>
      <c r="U39" s="36"/>
    </row>
    <row r="40" spans="1:21" ht="24" customHeight="1" x14ac:dyDescent="0.2">
      <c r="A40" s="230" t="s">
        <v>2942</v>
      </c>
      <c r="B40" s="150" t="s">
        <v>2918</v>
      </c>
      <c r="C40" s="91" t="s">
        <v>2943</v>
      </c>
      <c r="D40" s="280">
        <v>2720.7</v>
      </c>
      <c r="E40" s="36"/>
      <c r="F40" s="36"/>
      <c r="G40" s="36"/>
      <c r="H40" s="36"/>
      <c r="I40" s="36"/>
      <c r="J40" s="36"/>
      <c r="K40" s="36"/>
      <c r="L40" s="36"/>
      <c r="M40" s="36"/>
      <c r="N40" s="36"/>
      <c r="O40" s="36"/>
      <c r="P40" s="36"/>
      <c r="Q40" s="36"/>
      <c r="R40" s="36"/>
      <c r="S40" s="36"/>
      <c r="T40" s="36"/>
      <c r="U40" s="36"/>
    </row>
    <row r="41" spans="1:21" ht="24" customHeight="1" x14ac:dyDescent="0.2">
      <c r="A41" s="230" t="s">
        <v>2920</v>
      </c>
      <c r="B41" s="150" t="s">
        <v>2921</v>
      </c>
      <c r="C41" s="91" t="s">
        <v>2944</v>
      </c>
      <c r="D41" s="280">
        <v>0</v>
      </c>
      <c r="E41" s="36"/>
      <c r="F41" s="36"/>
      <c r="G41" s="36"/>
      <c r="H41" s="36"/>
      <c r="I41" s="36"/>
      <c r="J41" s="36"/>
      <c r="K41" s="36"/>
      <c r="L41" s="36"/>
      <c r="M41" s="36"/>
      <c r="N41" s="36"/>
      <c r="O41" s="36"/>
      <c r="P41" s="36"/>
      <c r="Q41" s="36"/>
      <c r="R41" s="36"/>
      <c r="S41" s="36"/>
      <c r="T41" s="36"/>
      <c r="U41" s="36"/>
    </row>
    <row r="42" spans="1:21" ht="24" customHeight="1" x14ac:dyDescent="0.2">
      <c r="A42" s="230"/>
      <c r="B42" s="72" t="s">
        <v>2945</v>
      </c>
      <c r="C42" s="91" t="s">
        <v>2946</v>
      </c>
      <c r="D42" s="286">
        <f>D5+D6-D24</f>
        <v>407423.39999999991</v>
      </c>
      <c r="E42" s="36"/>
      <c r="F42" s="36"/>
      <c r="G42" s="36"/>
      <c r="H42" s="36"/>
      <c r="I42" s="36"/>
      <c r="J42" s="36"/>
      <c r="K42" s="36"/>
      <c r="L42" s="36"/>
      <c r="M42" s="36"/>
      <c r="N42" s="36"/>
      <c r="O42" s="36"/>
      <c r="P42" s="36"/>
      <c r="Q42" s="36"/>
      <c r="R42" s="36"/>
      <c r="S42" s="36"/>
      <c r="T42" s="36"/>
      <c r="U42" s="36"/>
    </row>
    <row r="43" spans="1:21" ht="24" customHeight="1" x14ac:dyDescent="0.2">
      <c r="A43" s="71"/>
      <c r="B43" s="72" t="s">
        <v>2947</v>
      </c>
      <c r="C43" s="91" t="s">
        <v>2948</v>
      </c>
      <c r="D43" s="286">
        <f>D44+D49+D90+D95</f>
        <v>0</v>
      </c>
      <c r="E43" s="36"/>
      <c r="F43" s="36"/>
      <c r="G43" s="36"/>
      <c r="H43" s="36"/>
      <c r="I43" s="36"/>
      <c r="J43" s="36"/>
      <c r="K43" s="36"/>
      <c r="L43" s="36"/>
      <c r="M43" s="36"/>
      <c r="N43" s="36"/>
      <c r="O43" s="36"/>
      <c r="P43" s="36"/>
      <c r="Q43" s="36"/>
      <c r="R43" s="36"/>
      <c r="S43" s="36"/>
      <c r="T43" s="36"/>
      <c r="U43" s="36"/>
    </row>
    <row r="44" spans="1:21" ht="24" customHeight="1" x14ac:dyDescent="0.2">
      <c r="A44" s="230"/>
      <c r="B44" s="72" t="s">
        <v>2949</v>
      </c>
      <c r="C44" s="91" t="s">
        <v>2950</v>
      </c>
      <c r="D44" s="286">
        <f>SUM(D45:D48)</f>
        <v>0</v>
      </c>
      <c r="E44" s="36"/>
      <c r="F44" s="36"/>
      <c r="G44" s="36"/>
      <c r="H44" s="36"/>
      <c r="I44" s="36"/>
      <c r="J44" s="36"/>
      <c r="K44" s="36"/>
      <c r="L44" s="36"/>
      <c r="M44" s="36"/>
      <c r="N44" s="36"/>
      <c r="O44" s="36"/>
      <c r="P44" s="36"/>
      <c r="Q44" s="36"/>
      <c r="R44" s="36"/>
      <c r="S44" s="36"/>
      <c r="T44" s="36"/>
      <c r="U44" s="36"/>
    </row>
    <row r="45" spans="1:21" ht="12.75" customHeight="1" x14ac:dyDescent="0.2">
      <c r="A45" s="71"/>
      <c r="B45" s="150" t="s">
        <v>2951</v>
      </c>
      <c r="C45" s="91" t="s">
        <v>2952</v>
      </c>
      <c r="D45" s="280">
        <v>0</v>
      </c>
      <c r="E45" s="36"/>
      <c r="F45" s="36"/>
      <c r="G45" s="36"/>
      <c r="H45" s="36"/>
      <c r="I45" s="36"/>
      <c r="J45" s="36"/>
      <c r="K45" s="36"/>
      <c r="L45" s="36"/>
      <c r="M45" s="36"/>
      <c r="N45" s="36"/>
      <c r="O45" s="36"/>
      <c r="P45" s="36"/>
      <c r="Q45" s="36"/>
      <c r="R45" s="36"/>
      <c r="S45" s="36"/>
      <c r="T45" s="36"/>
      <c r="U45" s="36"/>
    </row>
    <row r="46" spans="1:21" ht="12.75" customHeight="1" x14ac:dyDescent="0.2">
      <c r="A46" s="230"/>
      <c r="B46" s="150" t="s">
        <v>2953</v>
      </c>
      <c r="C46" s="91" t="s">
        <v>2954</v>
      </c>
      <c r="D46" s="280">
        <v>0</v>
      </c>
      <c r="E46" s="36"/>
      <c r="F46" s="36"/>
      <c r="G46" s="36"/>
      <c r="H46" s="36"/>
      <c r="I46" s="36"/>
      <c r="J46" s="36"/>
      <c r="K46" s="36"/>
      <c r="L46" s="36"/>
      <c r="M46" s="36"/>
      <c r="N46" s="36"/>
      <c r="O46" s="36"/>
      <c r="P46" s="36"/>
      <c r="Q46" s="36"/>
      <c r="R46" s="36"/>
      <c r="S46" s="36"/>
      <c r="T46" s="36"/>
      <c r="U46" s="36"/>
    </row>
    <row r="47" spans="1:21" ht="12.75" customHeight="1" x14ac:dyDescent="0.2">
      <c r="A47" s="230"/>
      <c r="B47" s="150" t="s">
        <v>2955</v>
      </c>
      <c r="C47" s="91" t="s">
        <v>2956</v>
      </c>
      <c r="D47" s="280">
        <v>0</v>
      </c>
      <c r="E47" s="36"/>
      <c r="F47" s="36"/>
      <c r="G47" s="36"/>
      <c r="H47" s="36"/>
      <c r="I47" s="36"/>
      <c r="J47" s="36"/>
      <c r="K47" s="36"/>
      <c r="L47" s="36"/>
      <c r="M47" s="36"/>
      <c r="N47" s="36"/>
      <c r="O47" s="36"/>
      <c r="P47" s="36"/>
      <c r="Q47" s="36"/>
      <c r="R47" s="36"/>
      <c r="S47" s="36"/>
      <c r="T47" s="36"/>
      <c r="U47" s="36"/>
    </row>
    <row r="48" spans="1:21" ht="12.75" customHeight="1" x14ac:dyDescent="0.2">
      <c r="A48" s="230"/>
      <c r="B48" s="150" t="s">
        <v>2957</v>
      </c>
      <c r="C48" s="91" t="s">
        <v>2958</v>
      </c>
      <c r="D48" s="280">
        <v>0</v>
      </c>
      <c r="E48" s="36"/>
      <c r="F48" s="36"/>
      <c r="G48" s="36"/>
      <c r="H48" s="36"/>
      <c r="I48" s="36"/>
      <c r="J48" s="36"/>
      <c r="K48" s="36"/>
      <c r="L48" s="36"/>
      <c r="M48" s="36"/>
      <c r="N48" s="36"/>
      <c r="O48" s="36"/>
      <c r="P48" s="36"/>
      <c r="Q48" s="36"/>
      <c r="R48" s="36"/>
      <c r="S48" s="36"/>
      <c r="T48" s="36"/>
      <c r="U48" s="36"/>
    </row>
    <row r="49" spans="1:21" ht="24" customHeight="1" x14ac:dyDescent="0.2">
      <c r="A49" s="71" t="s">
        <v>2291</v>
      </c>
      <c r="B49" s="231" t="s">
        <v>2959</v>
      </c>
      <c r="C49" s="91" t="s">
        <v>2960</v>
      </c>
      <c r="D49" s="286">
        <f>D50+D55+D60+D65+D70+D75+D80+D85</f>
        <v>0</v>
      </c>
      <c r="E49" s="36"/>
      <c r="F49" s="36"/>
      <c r="G49" s="36"/>
      <c r="H49" s="36"/>
      <c r="I49" s="36"/>
      <c r="J49" s="36"/>
      <c r="K49" s="36"/>
      <c r="L49" s="36"/>
      <c r="M49" s="36"/>
      <c r="N49" s="36"/>
      <c r="O49" s="36"/>
      <c r="P49" s="36"/>
      <c r="Q49" s="36"/>
      <c r="R49" s="36"/>
      <c r="S49" s="36"/>
      <c r="T49" s="36"/>
      <c r="U49" s="36"/>
    </row>
    <row r="50" spans="1:21" ht="12.75" customHeight="1" x14ac:dyDescent="0.2">
      <c r="A50" s="71" t="s">
        <v>2293</v>
      </c>
      <c r="B50" s="72" t="s">
        <v>2961</v>
      </c>
      <c r="C50" s="91" t="s">
        <v>2962</v>
      </c>
      <c r="D50" s="286">
        <f>SUM(D51:D54)</f>
        <v>0</v>
      </c>
      <c r="E50" s="36"/>
      <c r="F50" s="36"/>
      <c r="G50" s="36"/>
      <c r="H50" s="36"/>
      <c r="I50" s="36"/>
      <c r="J50" s="36"/>
      <c r="K50" s="36"/>
      <c r="L50" s="36"/>
      <c r="M50" s="36"/>
      <c r="N50" s="36"/>
      <c r="O50" s="36"/>
      <c r="P50" s="36"/>
      <c r="Q50" s="36"/>
      <c r="R50" s="36"/>
      <c r="S50" s="36"/>
      <c r="T50" s="36"/>
      <c r="U50" s="36"/>
    </row>
    <row r="51" spans="1:21" ht="12.75" customHeight="1" x14ac:dyDescent="0.2">
      <c r="A51" s="230"/>
      <c r="B51" s="150" t="s">
        <v>2951</v>
      </c>
      <c r="C51" s="91" t="s">
        <v>2963</v>
      </c>
      <c r="D51" s="280">
        <v>0</v>
      </c>
      <c r="E51" s="36"/>
      <c r="F51" s="36"/>
      <c r="G51" s="36"/>
      <c r="H51" s="36"/>
      <c r="I51" s="36"/>
      <c r="J51" s="36"/>
      <c r="K51" s="36"/>
      <c r="L51" s="36"/>
      <c r="M51" s="36"/>
      <c r="N51" s="36"/>
      <c r="O51" s="36"/>
      <c r="P51" s="36"/>
      <c r="Q51" s="36"/>
      <c r="R51" s="36"/>
      <c r="S51" s="36"/>
      <c r="T51" s="36"/>
      <c r="U51" s="36"/>
    </row>
    <row r="52" spans="1:21" ht="12.75" customHeight="1" x14ac:dyDescent="0.2">
      <c r="A52" s="230"/>
      <c r="B52" s="150" t="s">
        <v>2953</v>
      </c>
      <c r="C52" s="91" t="s">
        <v>2964</v>
      </c>
      <c r="D52" s="280">
        <v>0</v>
      </c>
      <c r="E52" s="36"/>
      <c r="F52" s="36"/>
      <c r="G52" s="36"/>
      <c r="H52" s="36"/>
      <c r="I52" s="36"/>
      <c r="J52" s="36"/>
      <c r="K52" s="36"/>
      <c r="L52" s="36"/>
      <c r="M52" s="36"/>
      <c r="N52" s="36"/>
      <c r="O52" s="36"/>
      <c r="P52" s="36"/>
      <c r="Q52" s="36"/>
      <c r="R52" s="36"/>
      <c r="S52" s="36"/>
      <c r="T52" s="36"/>
      <c r="U52" s="36"/>
    </row>
    <row r="53" spans="1:21" ht="12.75" customHeight="1" x14ac:dyDescent="0.2">
      <c r="A53" s="71"/>
      <c r="B53" s="150" t="s">
        <v>2955</v>
      </c>
      <c r="C53" s="91" t="s">
        <v>2965</v>
      </c>
      <c r="D53" s="280">
        <v>0</v>
      </c>
      <c r="E53" s="36"/>
      <c r="F53" s="36"/>
      <c r="G53" s="36"/>
      <c r="H53" s="36"/>
      <c r="I53" s="36"/>
      <c r="J53" s="36"/>
      <c r="K53" s="36"/>
      <c r="L53" s="36"/>
      <c r="M53" s="36"/>
      <c r="N53" s="36"/>
      <c r="O53" s="36"/>
      <c r="P53" s="36"/>
      <c r="Q53" s="36"/>
      <c r="R53" s="36"/>
      <c r="S53" s="36"/>
      <c r="T53" s="36"/>
      <c r="U53" s="36"/>
    </row>
    <row r="54" spans="1:21" ht="12.75" customHeight="1" x14ac:dyDescent="0.2">
      <c r="A54" s="230"/>
      <c r="B54" s="150" t="s">
        <v>2957</v>
      </c>
      <c r="C54" s="91" t="s">
        <v>2966</v>
      </c>
      <c r="D54" s="280">
        <v>0</v>
      </c>
      <c r="E54" s="36"/>
      <c r="F54" s="36"/>
      <c r="G54" s="36"/>
      <c r="H54" s="36"/>
      <c r="I54" s="36"/>
      <c r="J54" s="36"/>
      <c r="K54" s="36"/>
      <c r="L54" s="36"/>
      <c r="M54" s="36"/>
      <c r="N54" s="36"/>
      <c r="O54" s="36"/>
      <c r="P54" s="36"/>
      <c r="Q54" s="36"/>
      <c r="R54" s="36"/>
      <c r="S54" s="36"/>
      <c r="T54" s="36"/>
      <c r="U54" s="36"/>
    </row>
    <row r="55" spans="1:21" ht="12.75" customHeight="1" x14ac:dyDescent="0.2">
      <c r="A55" s="71" t="s">
        <v>2295</v>
      </c>
      <c r="B55" s="72" t="s">
        <v>2967</v>
      </c>
      <c r="C55" s="91" t="s">
        <v>2968</v>
      </c>
      <c r="D55" s="286">
        <f>SUM(D56:D59)</f>
        <v>0</v>
      </c>
      <c r="E55" s="36"/>
      <c r="F55" s="36"/>
      <c r="G55" s="36"/>
      <c r="H55" s="36"/>
      <c r="I55" s="36"/>
      <c r="J55" s="36"/>
      <c r="K55" s="36"/>
      <c r="L55" s="36"/>
      <c r="M55" s="36"/>
      <c r="N55" s="36"/>
      <c r="O55" s="36"/>
      <c r="P55" s="36"/>
      <c r="Q55" s="36"/>
      <c r="R55" s="36"/>
      <c r="S55" s="36"/>
      <c r="T55" s="36"/>
      <c r="U55" s="36"/>
    </row>
    <row r="56" spans="1:21" ht="12.75" customHeight="1" x14ac:dyDescent="0.2">
      <c r="A56" s="230"/>
      <c r="B56" s="150" t="s">
        <v>2951</v>
      </c>
      <c r="C56" s="91" t="s">
        <v>2969</v>
      </c>
      <c r="D56" s="280">
        <v>0</v>
      </c>
      <c r="E56" s="36"/>
      <c r="F56" s="36"/>
      <c r="G56" s="36"/>
      <c r="H56" s="36"/>
      <c r="I56" s="36"/>
      <c r="J56" s="36"/>
      <c r="K56" s="36"/>
      <c r="L56" s="36"/>
      <c r="M56" s="36"/>
      <c r="N56" s="36"/>
      <c r="O56" s="36"/>
      <c r="P56" s="36"/>
      <c r="Q56" s="36"/>
      <c r="R56" s="36"/>
      <c r="S56" s="36"/>
      <c r="T56" s="36"/>
      <c r="U56" s="36"/>
    </row>
    <row r="57" spans="1:21" ht="12.75" customHeight="1" x14ac:dyDescent="0.2">
      <c r="A57" s="230"/>
      <c r="B57" s="150" t="s">
        <v>2953</v>
      </c>
      <c r="C57" s="91" t="s">
        <v>2970</v>
      </c>
      <c r="D57" s="280">
        <v>0</v>
      </c>
      <c r="E57" s="36"/>
      <c r="F57" s="36"/>
      <c r="G57" s="36"/>
      <c r="H57" s="36"/>
      <c r="I57" s="36"/>
      <c r="J57" s="36"/>
      <c r="K57" s="36"/>
      <c r="L57" s="36"/>
      <c r="M57" s="36"/>
      <c r="N57" s="36"/>
      <c r="O57" s="36"/>
      <c r="P57" s="36"/>
      <c r="Q57" s="36"/>
      <c r="R57" s="36"/>
      <c r="S57" s="36"/>
      <c r="T57" s="36"/>
      <c r="U57" s="36"/>
    </row>
    <row r="58" spans="1:21" ht="12.75" customHeight="1" x14ac:dyDescent="0.2">
      <c r="A58" s="230"/>
      <c r="B58" s="150" t="s">
        <v>2955</v>
      </c>
      <c r="C58" s="91" t="s">
        <v>2971</v>
      </c>
      <c r="D58" s="280">
        <v>0</v>
      </c>
      <c r="E58" s="36"/>
      <c r="F58" s="36"/>
      <c r="G58" s="36"/>
      <c r="H58" s="36"/>
      <c r="I58" s="36"/>
      <c r="J58" s="36"/>
      <c r="K58" s="36"/>
      <c r="L58" s="36"/>
      <c r="M58" s="36"/>
      <c r="N58" s="36"/>
      <c r="O58" s="36"/>
      <c r="P58" s="36"/>
      <c r="Q58" s="36"/>
      <c r="R58" s="36"/>
      <c r="S58" s="36"/>
      <c r="T58" s="36"/>
      <c r="U58" s="36"/>
    </row>
    <row r="59" spans="1:21" ht="12.75" customHeight="1" x14ac:dyDescent="0.2">
      <c r="A59" s="230"/>
      <c r="B59" s="150" t="s">
        <v>2957</v>
      </c>
      <c r="C59" s="91" t="s">
        <v>2972</v>
      </c>
      <c r="D59" s="280">
        <v>0</v>
      </c>
      <c r="E59" s="36"/>
      <c r="F59" s="36"/>
      <c r="G59" s="36"/>
      <c r="H59" s="36"/>
      <c r="I59" s="36"/>
      <c r="J59" s="36"/>
      <c r="K59" s="36"/>
      <c r="L59" s="36"/>
      <c r="M59" s="36"/>
      <c r="N59" s="36"/>
      <c r="O59" s="36"/>
      <c r="P59" s="36"/>
      <c r="Q59" s="36"/>
      <c r="R59" s="36"/>
      <c r="S59" s="36"/>
      <c r="T59" s="36"/>
      <c r="U59" s="36"/>
    </row>
    <row r="60" spans="1:21" ht="12.75" customHeight="1" x14ac:dyDescent="0.2">
      <c r="A60" s="71" t="s">
        <v>2297</v>
      </c>
      <c r="B60" s="72" t="s">
        <v>2973</v>
      </c>
      <c r="C60" s="91" t="s">
        <v>2974</v>
      </c>
      <c r="D60" s="286">
        <f>SUM(D61:D64)</f>
        <v>0</v>
      </c>
      <c r="E60" s="36"/>
      <c r="F60" s="36"/>
      <c r="G60" s="36"/>
      <c r="H60" s="36"/>
      <c r="I60" s="36"/>
      <c r="J60" s="36"/>
      <c r="K60" s="36"/>
      <c r="L60" s="36"/>
      <c r="M60" s="36"/>
      <c r="N60" s="36"/>
      <c r="O60" s="36"/>
      <c r="P60" s="36"/>
      <c r="Q60" s="36"/>
      <c r="R60" s="36"/>
      <c r="S60" s="36"/>
      <c r="T60" s="36"/>
      <c r="U60" s="36"/>
    </row>
    <row r="61" spans="1:21" ht="12.75" customHeight="1" x14ac:dyDescent="0.2">
      <c r="A61" s="230"/>
      <c r="B61" s="150" t="s">
        <v>2951</v>
      </c>
      <c r="C61" s="91" t="s">
        <v>2975</v>
      </c>
      <c r="D61" s="280">
        <v>0</v>
      </c>
      <c r="E61" s="36"/>
      <c r="F61" s="36"/>
      <c r="G61" s="36"/>
      <c r="H61" s="36"/>
      <c r="I61" s="36"/>
      <c r="J61" s="36"/>
      <c r="K61" s="36"/>
      <c r="L61" s="36"/>
      <c r="M61" s="36"/>
      <c r="N61" s="36"/>
      <c r="O61" s="36"/>
      <c r="P61" s="36"/>
      <c r="Q61" s="36"/>
      <c r="R61" s="36"/>
      <c r="S61" s="36"/>
      <c r="T61" s="36"/>
      <c r="U61" s="36"/>
    </row>
    <row r="62" spans="1:21" ht="12.75" customHeight="1" x14ac:dyDescent="0.2">
      <c r="A62" s="230"/>
      <c r="B62" s="150" t="s">
        <v>2953</v>
      </c>
      <c r="C62" s="91" t="s">
        <v>2976</v>
      </c>
      <c r="D62" s="280">
        <v>0</v>
      </c>
      <c r="E62" s="36"/>
      <c r="F62" s="36"/>
      <c r="G62" s="36"/>
      <c r="H62" s="36"/>
      <c r="I62" s="36"/>
      <c r="J62" s="36"/>
      <c r="K62" s="36"/>
      <c r="L62" s="36"/>
      <c r="M62" s="36"/>
      <c r="N62" s="36"/>
      <c r="O62" s="36"/>
      <c r="P62" s="36"/>
      <c r="Q62" s="36"/>
      <c r="R62" s="36"/>
      <c r="S62" s="36"/>
      <c r="T62" s="36"/>
      <c r="U62" s="36"/>
    </row>
    <row r="63" spans="1:21" ht="12.75" customHeight="1" x14ac:dyDescent="0.2">
      <c r="A63" s="71"/>
      <c r="B63" s="150" t="s">
        <v>2955</v>
      </c>
      <c r="C63" s="91" t="s">
        <v>2977</v>
      </c>
      <c r="D63" s="280">
        <v>0</v>
      </c>
      <c r="E63" s="36"/>
      <c r="F63" s="36"/>
      <c r="G63" s="36"/>
      <c r="H63" s="36"/>
      <c r="I63" s="36"/>
      <c r="J63" s="36"/>
      <c r="K63" s="36"/>
      <c r="L63" s="36"/>
      <c r="M63" s="36"/>
      <c r="N63" s="36"/>
      <c r="O63" s="36"/>
      <c r="P63" s="36"/>
      <c r="Q63" s="36"/>
      <c r="R63" s="36"/>
      <c r="S63" s="36"/>
      <c r="T63" s="36"/>
      <c r="U63" s="36"/>
    </row>
    <row r="64" spans="1:21" ht="12.75" customHeight="1" x14ac:dyDescent="0.2">
      <c r="A64" s="230"/>
      <c r="B64" s="150" t="s">
        <v>2957</v>
      </c>
      <c r="C64" s="91" t="s">
        <v>2978</v>
      </c>
      <c r="D64" s="280">
        <v>0</v>
      </c>
      <c r="E64" s="36"/>
      <c r="F64" s="36"/>
      <c r="G64" s="36"/>
      <c r="H64" s="36"/>
      <c r="I64" s="36"/>
      <c r="J64" s="36"/>
      <c r="K64" s="36"/>
      <c r="L64" s="36"/>
      <c r="M64" s="36"/>
      <c r="N64" s="36"/>
      <c r="O64" s="36"/>
      <c r="P64" s="36"/>
      <c r="Q64" s="36"/>
      <c r="R64" s="36"/>
      <c r="S64" s="36"/>
      <c r="T64" s="36"/>
      <c r="U64" s="36"/>
    </row>
    <row r="65" spans="1:21" ht="12.75" customHeight="1" x14ac:dyDescent="0.2">
      <c r="A65" s="71" t="s">
        <v>2305</v>
      </c>
      <c r="B65" s="72" t="s">
        <v>2979</v>
      </c>
      <c r="C65" s="91" t="s">
        <v>2980</v>
      </c>
      <c r="D65" s="286">
        <f>SUM(D66:D69)</f>
        <v>0</v>
      </c>
      <c r="E65" s="36"/>
      <c r="F65" s="36"/>
      <c r="G65" s="36"/>
      <c r="H65" s="36"/>
      <c r="I65" s="36"/>
      <c r="J65" s="36"/>
      <c r="K65" s="36"/>
      <c r="L65" s="36"/>
      <c r="M65" s="36"/>
      <c r="N65" s="36"/>
      <c r="O65" s="36"/>
      <c r="P65" s="36"/>
      <c r="Q65" s="36"/>
      <c r="R65" s="36"/>
      <c r="S65" s="36"/>
      <c r="T65" s="36"/>
      <c r="U65" s="36"/>
    </row>
    <row r="66" spans="1:21" ht="12.75" customHeight="1" x14ac:dyDescent="0.2">
      <c r="A66" s="230"/>
      <c r="B66" s="150" t="s">
        <v>2951</v>
      </c>
      <c r="C66" s="91" t="s">
        <v>2981</v>
      </c>
      <c r="D66" s="280">
        <v>0</v>
      </c>
      <c r="E66" s="36"/>
      <c r="F66" s="36"/>
      <c r="G66" s="36"/>
      <c r="H66" s="36"/>
      <c r="I66" s="36"/>
      <c r="J66" s="36"/>
      <c r="K66" s="36"/>
      <c r="L66" s="36"/>
      <c r="M66" s="36"/>
      <c r="N66" s="36"/>
      <c r="O66" s="36"/>
      <c r="P66" s="36"/>
      <c r="Q66" s="36"/>
      <c r="R66" s="36"/>
      <c r="S66" s="36"/>
      <c r="T66" s="36"/>
      <c r="U66" s="36"/>
    </row>
    <row r="67" spans="1:21" ht="12.75" customHeight="1" x14ac:dyDescent="0.2">
      <c r="A67" s="230"/>
      <c r="B67" s="150" t="s">
        <v>2953</v>
      </c>
      <c r="C67" s="91" t="s">
        <v>2982</v>
      </c>
      <c r="D67" s="280">
        <v>0</v>
      </c>
      <c r="E67" s="36"/>
      <c r="F67" s="36"/>
      <c r="G67" s="36"/>
      <c r="H67" s="36"/>
      <c r="I67" s="36"/>
      <c r="J67" s="36"/>
      <c r="K67" s="36"/>
      <c r="L67" s="36"/>
      <c r="M67" s="36"/>
      <c r="N67" s="36"/>
      <c r="O67" s="36"/>
      <c r="P67" s="36"/>
      <c r="Q67" s="36"/>
      <c r="R67" s="36"/>
      <c r="S67" s="36"/>
      <c r="T67" s="36"/>
      <c r="U67" s="36"/>
    </row>
    <row r="68" spans="1:21" ht="12.75" customHeight="1" x14ac:dyDescent="0.2">
      <c r="A68" s="230"/>
      <c r="B68" s="150" t="s">
        <v>2955</v>
      </c>
      <c r="C68" s="91" t="s">
        <v>2983</v>
      </c>
      <c r="D68" s="280">
        <v>0</v>
      </c>
      <c r="E68" s="36"/>
      <c r="F68" s="36"/>
      <c r="G68" s="36"/>
      <c r="H68" s="36"/>
      <c r="I68" s="36"/>
      <c r="J68" s="36"/>
      <c r="K68" s="36"/>
      <c r="L68" s="36"/>
      <c r="M68" s="36"/>
      <c r="N68" s="36"/>
      <c r="O68" s="36"/>
      <c r="P68" s="36"/>
      <c r="Q68" s="36"/>
      <c r="R68" s="36"/>
      <c r="S68" s="36"/>
      <c r="T68" s="36"/>
      <c r="U68" s="36"/>
    </row>
    <row r="69" spans="1:21" ht="12.75" customHeight="1" x14ac:dyDescent="0.2">
      <c r="A69" s="230"/>
      <c r="B69" s="150" t="s">
        <v>2957</v>
      </c>
      <c r="C69" s="91" t="s">
        <v>2984</v>
      </c>
      <c r="D69" s="280">
        <v>0</v>
      </c>
      <c r="E69" s="36"/>
      <c r="F69" s="36"/>
      <c r="G69" s="36"/>
      <c r="H69" s="36"/>
      <c r="I69" s="36"/>
      <c r="J69" s="36"/>
      <c r="K69" s="36"/>
      <c r="L69" s="36"/>
      <c r="M69" s="36"/>
      <c r="N69" s="36"/>
      <c r="O69" s="36"/>
      <c r="P69" s="36"/>
      <c r="Q69" s="36"/>
      <c r="R69" s="36"/>
      <c r="S69" s="36"/>
      <c r="T69" s="36"/>
      <c r="U69" s="36"/>
    </row>
    <row r="70" spans="1:21" ht="24" customHeight="1" x14ac:dyDescent="0.2">
      <c r="A70" s="71" t="s">
        <v>2307</v>
      </c>
      <c r="B70" s="72" t="s">
        <v>2985</v>
      </c>
      <c r="C70" s="91" t="s">
        <v>2986</v>
      </c>
      <c r="D70" s="286">
        <f>SUM(D71:D74)</f>
        <v>0</v>
      </c>
      <c r="E70" s="36"/>
      <c r="F70" s="36"/>
      <c r="G70" s="36"/>
      <c r="H70" s="36"/>
      <c r="I70" s="36"/>
      <c r="J70" s="36"/>
      <c r="K70" s="36"/>
      <c r="L70" s="36"/>
      <c r="M70" s="36"/>
      <c r="N70" s="36"/>
      <c r="O70" s="36"/>
      <c r="P70" s="36"/>
      <c r="Q70" s="36"/>
      <c r="R70" s="36"/>
      <c r="S70" s="36"/>
      <c r="T70" s="36"/>
      <c r="U70" s="36"/>
    </row>
    <row r="71" spans="1:21" ht="12.75" customHeight="1" x14ac:dyDescent="0.2">
      <c r="A71" s="230"/>
      <c r="B71" s="150" t="s">
        <v>2951</v>
      </c>
      <c r="C71" s="91" t="s">
        <v>2987</v>
      </c>
      <c r="D71" s="280">
        <v>0</v>
      </c>
      <c r="E71" s="36"/>
      <c r="F71" s="36"/>
      <c r="G71" s="36"/>
      <c r="H71" s="36"/>
      <c r="I71" s="36"/>
      <c r="J71" s="36"/>
      <c r="K71" s="36"/>
      <c r="L71" s="36"/>
      <c r="M71" s="36"/>
      <c r="N71" s="36"/>
      <c r="O71" s="36"/>
      <c r="P71" s="36"/>
      <c r="Q71" s="36"/>
      <c r="R71" s="36"/>
      <c r="S71" s="36"/>
      <c r="T71" s="36"/>
      <c r="U71" s="36"/>
    </row>
    <row r="72" spans="1:21" ht="12.75" customHeight="1" x14ac:dyDescent="0.2">
      <c r="A72" s="230"/>
      <c r="B72" s="150" t="s">
        <v>2953</v>
      </c>
      <c r="C72" s="91" t="s">
        <v>2988</v>
      </c>
      <c r="D72" s="280">
        <v>0</v>
      </c>
      <c r="E72" s="36"/>
      <c r="F72" s="36"/>
      <c r="G72" s="36"/>
      <c r="H72" s="36"/>
      <c r="I72" s="36"/>
      <c r="J72" s="36"/>
      <c r="K72" s="36"/>
      <c r="L72" s="36"/>
      <c r="M72" s="36"/>
      <c r="N72" s="36"/>
      <c r="O72" s="36"/>
      <c r="P72" s="36"/>
      <c r="Q72" s="36"/>
      <c r="R72" s="36"/>
      <c r="S72" s="36"/>
      <c r="T72" s="36"/>
      <c r="U72" s="36"/>
    </row>
    <row r="73" spans="1:21" ht="12.75" customHeight="1" x14ac:dyDescent="0.2">
      <c r="A73" s="230"/>
      <c r="B73" s="150" t="s">
        <v>2955</v>
      </c>
      <c r="C73" s="91" t="s">
        <v>2989</v>
      </c>
      <c r="D73" s="280">
        <v>0</v>
      </c>
      <c r="E73" s="36"/>
      <c r="F73" s="36"/>
      <c r="G73" s="36"/>
      <c r="H73" s="36"/>
      <c r="I73" s="36"/>
      <c r="J73" s="36"/>
      <c r="K73" s="36"/>
      <c r="L73" s="36"/>
      <c r="M73" s="36"/>
      <c r="N73" s="36"/>
      <c r="O73" s="36"/>
      <c r="P73" s="36"/>
      <c r="Q73" s="36"/>
      <c r="R73" s="36"/>
      <c r="S73" s="36"/>
      <c r="T73" s="36"/>
      <c r="U73" s="36"/>
    </row>
    <row r="74" spans="1:21" ht="12.75" customHeight="1" x14ac:dyDescent="0.2">
      <c r="A74" s="230"/>
      <c r="B74" s="150" t="s">
        <v>2957</v>
      </c>
      <c r="C74" s="91" t="s">
        <v>2990</v>
      </c>
      <c r="D74" s="280">
        <v>0</v>
      </c>
      <c r="E74" s="36"/>
      <c r="F74" s="36"/>
      <c r="G74" s="36"/>
      <c r="H74" s="36"/>
      <c r="I74" s="36"/>
      <c r="J74" s="36"/>
      <c r="K74" s="36"/>
      <c r="L74" s="36"/>
      <c r="M74" s="36"/>
      <c r="N74" s="36"/>
      <c r="O74" s="36"/>
      <c r="P74" s="36"/>
      <c r="Q74" s="36"/>
      <c r="R74" s="36"/>
      <c r="S74" s="36"/>
      <c r="T74" s="36"/>
      <c r="U74" s="36"/>
    </row>
    <row r="75" spans="1:21" ht="24" customHeight="1" x14ac:dyDescent="0.2">
      <c r="A75" s="71" t="s">
        <v>2309</v>
      </c>
      <c r="B75" s="72" t="s">
        <v>2991</v>
      </c>
      <c r="C75" s="91" t="s">
        <v>2992</v>
      </c>
      <c r="D75" s="286">
        <f>SUM(D76:D79)</f>
        <v>0</v>
      </c>
      <c r="E75" s="36"/>
      <c r="F75" s="36"/>
      <c r="G75" s="36"/>
      <c r="H75" s="36"/>
      <c r="I75" s="36"/>
      <c r="J75" s="36"/>
      <c r="K75" s="36"/>
      <c r="L75" s="36"/>
      <c r="M75" s="36"/>
      <c r="N75" s="36"/>
      <c r="O75" s="36"/>
      <c r="P75" s="36"/>
      <c r="Q75" s="36"/>
      <c r="R75" s="36"/>
      <c r="S75" s="36"/>
      <c r="T75" s="36"/>
      <c r="U75" s="36"/>
    </row>
    <row r="76" spans="1:21" ht="12.75" customHeight="1" x14ac:dyDescent="0.2">
      <c r="A76" s="230"/>
      <c r="B76" s="150" t="s">
        <v>2951</v>
      </c>
      <c r="C76" s="91" t="s">
        <v>2993</v>
      </c>
      <c r="D76" s="280">
        <v>0</v>
      </c>
      <c r="E76" s="36"/>
      <c r="F76" s="36"/>
      <c r="G76" s="36"/>
      <c r="H76" s="36"/>
      <c r="I76" s="36"/>
      <c r="J76" s="36"/>
      <c r="K76" s="36"/>
      <c r="L76" s="36"/>
      <c r="M76" s="36"/>
      <c r="N76" s="36"/>
      <c r="O76" s="36"/>
      <c r="P76" s="36"/>
      <c r="Q76" s="36"/>
      <c r="R76" s="36"/>
      <c r="S76" s="36"/>
      <c r="T76" s="36"/>
      <c r="U76" s="36"/>
    </row>
    <row r="77" spans="1:21" ht="12.75" customHeight="1" x14ac:dyDescent="0.2">
      <c r="A77" s="230"/>
      <c r="B77" s="150" t="s">
        <v>2953</v>
      </c>
      <c r="C77" s="91" t="s">
        <v>2994</v>
      </c>
      <c r="D77" s="280">
        <v>0</v>
      </c>
      <c r="E77" s="36"/>
      <c r="F77" s="36"/>
      <c r="G77" s="36"/>
      <c r="H77" s="36"/>
      <c r="I77" s="36"/>
      <c r="J77" s="36"/>
      <c r="K77" s="36"/>
      <c r="L77" s="36"/>
      <c r="M77" s="36"/>
      <c r="N77" s="36"/>
      <c r="O77" s="36"/>
      <c r="P77" s="36"/>
      <c r="Q77" s="36"/>
      <c r="R77" s="36"/>
      <c r="S77" s="36"/>
      <c r="T77" s="36"/>
      <c r="U77" s="36"/>
    </row>
    <row r="78" spans="1:21" ht="12.75" customHeight="1" x14ac:dyDescent="0.2">
      <c r="A78" s="230"/>
      <c r="B78" s="150" t="s">
        <v>2955</v>
      </c>
      <c r="C78" s="91" t="s">
        <v>2995</v>
      </c>
      <c r="D78" s="280">
        <v>0</v>
      </c>
      <c r="E78" s="36"/>
      <c r="F78" s="36"/>
      <c r="G78" s="36"/>
      <c r="H78" s="36"/>
      <c r="I78" s="36"/>
      <c r="J78" s="36"/>
      <c r="K78" s="36"/>
      <c r="L78" s="36"/>
      <c r="M78" s="36"/>
      <c r="N78" s="36"/>
      <c r="O78" s="36"/>
      <c r="P78" s="36"/>
      <c r="Q78" s="36"/>
      <c r="R78" s="36"/>
      <c r="S78" s="36"/>
      <c r="T78" s="36"/>
      <c r="U78" s="36"/>
    </row>
    <row r="79" spans="1:21" ht="12.75" customHeight="1" x14ac:dyDescent="0.2">
      <c r="A79" s="71"/>
      <c r="B79" s="150" t="s">
        <v>2957</v>
      </c>
      <c r="C79" s="91" t="s">
        <v>2996</v>
      </c>
      <c r="D79" s="280">
        <v>0</v>
      </c>
      <c r="E79" s="36"/>
      <c r="F79" s="36"/>
      <c r="G79" s="36"/>
      <c r="H79" s="36"/>
      <c r="I79" s="36"/>
      <c r="J79" s="36"/>
      <c r="K79" s="36"/>
      <c r="L79" s="36"/>
      <c r="M79" s="36"/>
      <c r="N79" s="36"/>
      <c r="O79" s="36"/>
      <c r="P79" s="36"/>
      <c r="Q79" s="36"/>
      <c r="R79" s="36"/>
      <c r="S79" s="36"/>
      <c r="T79" s="36"/>
      <c r="U79" s="36"/>
    </row>
    <row r="80" spans="1:21" ht="24" customHeight="1" x14ac:dyDescent="0.2">
      <c r="A80" s="71" t="s">
        <v>2311</v>
      </c>
      <c r="B80" s="106" t="s">
        <v>2997</v>
      </c>
      <c r="C80" s="91" t="s">
        <v>2998</v>
      </c>
      <c r="D80" s="286">
        <f>SUM(D81:D84)</f>
        <v>0</v>
      </c>
      <c r="E80" s="36"/>
      <c r="F80" s="36"/>
      <c r="G80" s="36"/>
      <c r="H80" s="36"/>
      <c r="I80" s="36"/>
      <c r="J80" s="36"/>
      <c r="K80" s="36"/>
      <c r="L80" s="36"/>
      <c r="M80" s="36"/>
      <c r="N80" s="36"/>
      <c r="O80" s="36"/>
      <c r="P80" s="36"/>
      <c r="Q80" s="36"/>
      <c r="R80" s="36"/>
      <c r="S80" s="36"/>
      <c r="T80" s="36"/>
      <c r="U80" s="36"/>
    </row>
    <row r="81" spans="1:21" ht="12.75" customHeight="1" x14ac:dyDescent="0.2">
      <c r="A81" s="71"/>
      <c r="B81" s="150" t="s">
        <v>2951</v>
      </c>
      <c r="C81" s="91" t="s">
        <v>2999</v>
      </c>
      <c r="D81" s="280">
        <v>0</v>
      </c>
      <c r="E81" s="36"/>
      <c r="F81" s="36"/>
      <c r="G81" s="36"/>
      <c r="H81" s="36"/>
      <c r="I81" s="36"/>
      <c r="J81" s="36"/>
      <c r="K81" s="36"/>
      <c r="L81" s="36"/>
      <c r="M81" s="36"/>
      <c r="N81" s="36"/>
      <c r="O81" s="36"/>
      <c r="P81" s="36"/>
      <c r="Q81" s="36"/>
      <c r="R81" s="36"/>
      <c r="S81" s="36"/>
      <c r="T81" s="36"/>
      <c r="U81" s="36"/>
    </row>
    <row r="82" spans="1:21" ht="12.75" customHeight="1" x14ac:dyDescent="0.2">
      <c r="A82" s="71"/>
      <c r="B82" s="150" t="s">
        <v>2953</v>
      </c>
      <c r="C82" s="91" t="s">
        <v>3000</v>
      </c>
      <c r="D82" s="280">
        <v>0</v>
      </c>
      <c r="E82" s="36"/>
      <c r="F82" s="36"/>
      <c r="G82" s="36"/>
      <c r="H82" s="36"/>
      <c r="I82" s="36"/>
      <c r="J82" s="36"/>
      <c r="K82" s="36"/>
      <c r="L82" s="36"/>
      <c r="M82" s="36"/>
      <c r="N82" s="36"/>
      <c r="O82" s="36"/>
      <c r="P82" s="36"/>
      <c r="Q82" s="36"/>
      <c r="R82" s="36"/>
      <c r="S82" s="36"/>
      <c r="T82" s="36"/>
      <c r="U82" s="36"/>
    </row>
    <row r="83" spans="1:21" ht="12.75" customHeight="1" x14ac:dyDescent="0.2">
      <c r="A83" s="71"/>
      <c r="B83" s="150" t="s">
        <v>2955</v>
      </c>
      <c r="C83" s="91" t="s">
        <v>3001</v>
      </c>
      <c r="D83" s="280">
        <v>0</v>
      </c>
      <c r="E83" s="36"/>
      <c r="F83" s="36"/>
      <c r="G83" s="36"/>
      <c r="H83" s="36"/>
      <c r="I83" s="36"/>
      <c r="J83" s="36"/>
      <c r="K83" s="36"/>
      <c r="L83" s="36"/>
      <c r="M83" s="36"/>
      <c r="N83" s="36"/>
      <c r="O83" s="36"/>
      <c r="P83" s="36"/>
      <c r="Q83" s="36"/>
      <c r="R83" s="36"/>
      <c r="S83" s="36"/>
      <c r="T83" s="36"/>
      <c r="U83" s="36"/>
    </row>
    <row r="84" spans="1:21" ht="12.75" customHeight="1" x14ac:dyDescent="0.2">
      <c r="A84" s="71"/>
      <c r="B84" s="150" t="s">
        <v>2957</v>
      </c>
      <c r="C84" s="91" t="s">
        <v>3002</v>
      </c>
      <c r="D84" s="280">
        <v>0</v>
      </c>
      <c r="E84" s="36"/>
      <c r="F84" s="36"/>
      <c r="G84" s="36"/>
      <c r="H84" s="36"/>
      <c r="I84" s="36"/>
      <c r="J84" s="36"/>
      <c r="K84" s="36"/>
      <c r="L84" s="36"/>
      <c r="M84" s="36"/>
      <c r="N84" s="36"/>
      <c r="O84" s="36"/>
      <c r="P84" s="36"/>
      <c r="Q84" s="36"/>
      <c r="R84" s="36"/>
      <c r="S84" s="36"/>
      <c r="T84" s="36"/>
      <c r="U84" s="36"/>
    </row>
    <row r="85" spans="1:21" ht="12.75" customHeight="1" x14ac:dyDescent="0.2">
      <c r="A85" s="71" t="s">
        <v>2313</v>
      </c>
      <c r="B85" s="106" t="s">
        <v>3003</v>
      </c>
      <c r="C85" s="91" t="s">
        <v>3004</v>
      </c>
      <c r="D85" s="286">
        <f>SUM(D86:D89)</f>
        <v>0</v>
      </c>
      <c r="E85" s="36"/>
      <c r="F85" s="36"/>
      <c r="G85" s="36"/>
      <c r="H85" s="36"/>
      <c r="I85" s="36"/>
      <c r="J85" s="36"/>
      <c r="K85" s="36"/>
      <c r="L85" s="36"/>
      <c r="M85" s="36"/>
      <c r="N85" s="36"/>
      <c r="O85" s="36"/>
      <c r="P85" s="36"/>
      <c r="Q85" s="36"/>
      <c r="R85" s="36"/>
      <c r="S85" s="36"/>
      <c r="T85" s="36"/>
      <c r="U85" s="36"/>
    </row>
    <row r="86" spans="1:21" ht="12.75" customHeight="1" x14ac:dyDescent="0.2">
      <c r="A86" s="71"/>
      <c r="B86" s="150" t="s">
        <v>2951</v>
      </c>
      <c r="C86" s="91" t="s">
        <v>3005</v>
      </c>
      <c r="D86" s="280">
        <v>0</v>
      </c>
      <c r="E86" s="36"/>
      <c r="F86" s="36"/>
      <c r="G86" s="36"/>
      <c r="H86" s="36"/>
      <c r="I86" s="36"/>
      <c r="J86" s="36"/>
      <c r="K86" s="36"/>
      <c r="L86" s="36"/>
      <c r="M86" s="36"/>
      <c r="N86" s="36"/>
      <c r="O86" s="36"/>
      <c r="P86" s="36"/>
      <c r="Q86" s="36"/>
      <c r="R86" s="36"/>
      <c r="S86" s="36"/>
      <c r="T86" s="36"/>
      <c r="U86" s="36"/>
    </row>
    <row r="87" spans="1:21" ht="12.75" customHeight="1" x14ac:dyDescent="0.2">
      <c r="A87" s="71"/>
      <c r="B87" s="150" t="s">
        <v>2953</v>
      </c>
      <c r="C87" s="91" t="s">
        <v>3006</v>
      </c>
      <c r="D87" s="280">
        <v>0</v>
      </c>
      <c r="E87" s="36"/>
      <c r="F87" s="36"/>
      <c r="G87" s="36"/>
      <c r="H87" s="36"/>
      <c r="I87" s="36"/>
      <c r="J87" s="36"/>
      <c r="K87" s="36"/>
      <c r="L87" s="36"/>
      <c r="M87" s="36"/>
      <c r="N87" s="36"/>
      <c r="O87" s="36"/>
      <c r="P87" s="36"/>
      <c r="Q87" s="36"/>
      <c r="R87" s="36"/>
      <c r="S87" s="36"/>
      <c r="T87" s="36"/>
      <c r="U87" s="36"/>
    </row>
    <row r="88" spans="1:21" ht="12.75" customHeight="1" x14ac:dyDescent="0.2">
      <c r="A88" s="71"/>
      <c r="B88" s="150" t="s">
        <v>2955</v>
      </c>
      <c r="C88" s="91" t="s">
        <v>3007</v>
      </c>
      <c r="D88" s="280">
        <v>0</v>
      </c>
      <c r="E88" s="36"/>
      <c r="F88" s="36"/>
      <c r="G88" s="36"/>
      <c r="H88" s="36"/>
      <c r="I88" s="36"/>
      <c r="J88" s="36"/>
      <c r="K88" s="36"/>
      <c r="L88" s="36"/>
      <c r="M88" s="36"/>
      <c r="N88" s="36"/>
      <c r="O88" s="36"/>
      <c r="P88" s="36"/>
      <c r="Q88" s="36"/>
      <c r="R88" s="36"/>
      <c r="S88" s="36"/>
      <c r="T88" s="36"/>
      <c r="U88" s="36"/>
    </row>
    <row r="89" spans="1:21" ht="12.75" customHeight="1" x14ac:dyDescent="0.2">
      <c r="A89" s="71"/>
      <c r="B89" s="150" t="s">
        <v>2957</v>
      </c>
      <c r="C89" s="91" t="s">
        <v>3008</v>
      </c>
      <c r="D89" s="280">
        <v>0</v>
      </c>
      <c r="E89" s="36"/>
      <c r="F89" s="36"/>
      <c r="G89" s="36"/>
      <c r="H89" s="36"/>
      <c r="I89" s="36"/>
      <c r="J89" s="36"/>
      <c r="K89" s="36"/>
      <c r="L89" s="36"/>
      <c r="M89" s="36"/>
      <c r="N89" s="36"/>
      <c r="O89" s="36"/>
      <c r="P89" s="36"/>
      <c r="Q89" s="36"/>
      <c r="R89" s="36"/>
      <c r="S89" s="36"/>
      <c r="T89" s="36"/>
      <c r="U89" s="36"/>
    </row>
    <row r="90" spans="1:21" ht="12.75" customHeight="1" x14ac:dyDescent="0.2">
      <c r="A90" s="71" t="s">
        <v>2315</v>
      </c>
      <c r="B90" s="72" t="s">
        <v>3009</v>
      </c>
      <c r="C90" s="91" t="s">
        <v>3010</v>
      </c>
      <c r="D90" s="286">
        <f>SUM(D91:D94)</f>
        <v>0</v>
      </c>
      <c r="E90" s="36"/>
      <c r="F90" s="36"/>
      <c r="G90" s="36"/>
      <c r="H90" s="36"/>
      <c r="I90" s="36"/>
      <c r="J90" s="36"/>
      <c r="K90" s="36"/>
      <c r="L90" s="36"/>
      <c r="M90" s="36"/>
      <c r="N90" s="36"/>
      <c r="O90" s="36"/>
      <c r="P90" s="36"/>
      <c r="Q90" s="36"/>
      <c r="R90" s="36"/>
      <c r="S90" s="36"/>
      <c r="T90" s="36"/>
      <c r="U90" s="36"/>
    </row>
    <row r="91" spans="1:21" ht="12.75" customHeight="1" x14ac:dyDescent="0.2">
      <c r="A91" s="71"/>
      <c r="B91" s="150" t="s">
        <v>2951</v>
      </c>
      <c r="C91" s="91" t="s">
        <v>3011</v>
      </c>
      <c r="D91" s="280">
        <v>0</v>
      </c>
      <c r="E91" s="36"/>
      <c r="F91" s="36"/>
      <c r="G91" s="36"/>
      <c r="H91" s="36"/>
      <c r="I91" s="36"/>
      <c r="J91" s="36"/>
      <c r="K91" s="36"/>
      <c r="L91" s="36"/>
      <c r="M91" s="36"/>
      <c r="N91" s="36"/>
      <c r="O91" s="36"/>
      <c r="P91" s="36"/>
      <c r="Q91" s="36"/>
      <c r="R91" s="36"/>
      <c r="S91" s="36"/>
      <c r="T91" s="36"/>
      <c r="U91" s="36"/>
    </row>
    <row r="92" spans="1:21" ht="12.75" customHeight="1" x14ac:dyDescent="0.2">
      <c r="A92" s="71"/>
      <c r="B92" s="150" t="s">
        <v>2953</v>
      </c>
      <c r="C92" s="91" t="s">
        <v>3012</v>
      </c>
      <c r="D92" s="280">
        <v>0</v>
      </c>
      <c r="E92" s="36"/>
      <c r="F92" s="36"/>
      <c r="G92" s="36"/>
      <c r="H92" s="36"/>
      <c r="I92" s="36"/>
      <c r="J92" s="36"/>
      <c r="K92" s="36"/>
      <c r="L92" s="36"/>
      <c r="M92" s="36"/>
      <c r="N92" s="36"/>
      <c r="O92" s="36"/>
      <c r="P92" s="36"/>
      <c r="Q92" s="36"/>
      <c r="R92" s="36"/>
      <c r="S92" s="36"/>
      <c r="T92" s="36"/>
      <c r="U92" s="36"/>
    </row>
    <row r="93" spans="1:21" ht="12.75" customHeight="1" x14ac:dyDescent="0.2">
      <c r="A93" s="230"/>
      <c r="B93" s="150" t="s">
        <v>2955</v>
      </c>
      <c r="C93" s="91" t="s">
        <v>3013</v>
      </c>
      <c r="D93" s="280">
        <v>0</v>
      </c>
      <c r="E93" s="36"/>
      <c r="F93" s="36"/>
      <c r="G93" s="36"/>
      <c r="H93" s="36"/>
      <c r="I93" s="36"/>
      <c r="J93" s="36"/>
      <c r="K93" s="36"/>
      <c r="L93" s="36"/>
      <c r="M93" s="36"/>
      <c r="N93" s="36"/>
      <c r="O93" s="36"/>
      <c r="P93" s="36"/>
      <c r="Q93" s="36"/>
      <c r="R93" s="36"/>
      <c r="S93" s="36"/>
      <c r="T93" s="36"/>
      <c r="U93" s="36"/>
    </row>
    <row r="94" spans="1:21" ht="12.75" customHeight="1" x14ac:dyDescent="0.2">
      <c r="A94" s="230"/>
      <c r="B94" s="150" t="s">
        <v>2957</v>
      </c>
      <c r="C94" s="91" t="s">
        <v>3014</v>
      </c>
      <c r="D94" s="280">
        <v>0</v>
      </c>
      <c r="E94" s="36"/>
      <c r="F94" s="36"/>
      <c r="G94" s="36"/>
      <c r="H94" s="36"/>
      <c r="I94" s="36"/>
      <c r="J94" s="36"/>
      <c r="K94" s="36"/>
      <c r="L94" s="36"/>
      <c r="M94" s="36"/>
      <c r="N94" s="36"/>
      <c r="O94" s="36"/>
      <c r="P94" s="36"/>
      <c r="Q94" s="36"/>
      <c r="R94" s="36"/>
      <c r="S94" s="36"/>
      <c r="T94" s="36"/>
      <c r="U94" s="36"/>
    </row>
    <row r="95" spans="1:21" ht="36" customHeight="1" x14ac:dyDescent="0.2">
      <c r="A95" s="71" t="s">
        <v>2907</v>
      </c>
      <c r="B95" s="72" t="s">
        <v>3015</v>
      </c>
      <c r="C95" s="91" t="s">
        <v>3016</v>
      </c>
      <c r="D95" s="286">
        <f>SUM(D96:D100)</f>
        <v>0</v>
      </c>
      <c r="E95" s="36"/>
      <c r="F95" s="36"/>
      <c r="G95" s="36"/>
      <c r="H95" s="36"/>
      <c r="I95" s="36"/>
      <c r="J95" s="36"/>
      <c r="K95" s="36"/>
      <c r="L95" s="36"/>
      <c r="M95" s="36"/>
      <c r="N95" s="36"/>
      <c r="O95" s="36"/>
      <c r="P95" s="36"/>
      <c r="Q95" s="36"/>
      <c r="R95" s="36"/>
      <c r="S95" s="36"/>
      <c r="T95" s="36"/>
      <c r="U95" s="36"/>
    </row>
    <row r="96" spans="1:21" ht="12.75" customHeight="1" x14ac:dyDescent="0.2">
      <c r="A96" s="230" t="s">
        <v>2910</v>
      </c>
      <c r="B96" s="150" t="s">
        <v>2911</v>
      </c>
      <c r="C96" s="91" t="s">
        <v>3017</v>
      </c>
      <c r="D96" s="280">
        <v>0</v>
      </c>
      <c r="E96" s="36"/>
      <c r="F96" s="36"/>
      <c r="G96" s="36"/>
      <c r="H96" s="36"/>
      <c r="I96" s="36"/>
      <c r="J96" s="36"/>
      <c r="K96" s="36"/>
      <c r="L96" s="36"/>
      <c r="M96" s="36"/>
      <c r="N96" s="36"/>
      <c r="O96" s="36"/>
      <c r="P96" s="36"/>
      <c r="Q96" s="36"/>
      <c r="R96" s="36"/>
      <c r="S96" s="36"/>
      <c r="T96" s="36"/>
      <c r="U96" s="36"/>
    </row>
    <row r="97" spans="1:21" ht="12.75" customHeight="1" x14ac:dyDescent="0.2">
      <c r="A97" s="230" t="s">
        <v>2913</v>
      </c>
      <c r="B97" s="150" t="s">
        <v>2328</v>
      </c>
      <c r="C97" s="91" t="s">
        <v>3018</v>
      </c>
      <c r="D97" s="280">
        <v>0</v>
      </c>
      <c r="E97" s="36"/>
      <c r="F97" s="36"/>
      <c r="G97" s="36"/>
      <c r="H97" s="36"/>
      <c r="I97" s="36"/>
      <c r="J97" s="36"/>
      <c r="K97" s="36"/>
      <c r="L97" s="36"/>
      <c r="M97" s="36"/>
      <c r="N97" s="36"/>
      <c r="O97" s="36"/>
      <c r="P97" s="36"/>
      <c r="Q97" s="36"/>
      <c r="R97" s="36"/>
      <c r="S97" s="36"/>
      <c r="T97" s="36"/>
      <c r="U97" s="36"/>
    </row>
    <row r="98" spans="1:21" ht="12.75" customHeight="1" x14ac:dyDescent="0.2">
      <c r="A98" s="230" t="s">
        <v>2915</v>
      </c>
      <c r="B98" s="150" t="s">
        <v>2332</v>
      </c>
      <c r="C98" s="91" t="s">
        <v>3019</v>
      </c>
      <c r="D98" s="280">
        <v>0</v>
      </c>
      <c r="E98" s="36"/>
      <c r="F98" s="36"/>
      <c r="G98" s="36"/>
      <c r="H98" s="36"/>
      <c r="I98" s="36"/>
      <c r="J98" s="36"/>
      <c r="K98" s="36"/>
      <c r="L98" s="36"/>
      <c r="M98" s="36"/>
      <c r="N98" s="36"/>
      <c r="O98" s="36"/>
      <c r="P98" s="36"/>
      <c r="Q98" s="36"/>
      <c r="R98" s="36"/>
      <c r="S98" s="36"/>
      <c r="T98" s="36"/>
      <c r="U98" s="36"/>
    </row>
    <row r="99" spans="1:21" ht="24" customHeight="1" x14ac:dyDescent="0.2">
      <c r="A99" s="230" t="s">
        <v>2942</v>
      </c>
      <c r="B99" s="150" t="s">
        <v>2918</v>
      </c>
      <c r="C99" s="91" t="s">
        <v>3020</v>
      </c>
      <c r="D99" s="280">
        <v>0</v>
      </c>
      <c r="E99" s="36"/>
      <c r="F99" s="36"/>
      <c r="G99" s="36"/>
      <c r="H99" s="36"/>
      <c r="I99" s="36"/>
      <c r="J99" s="36"/>
      <c r="K99" s="36"/>
      <c r="L99" s="36"/>
      <c r="M99" s="36"/>
      <c r="N99" s="36"/>
      <c r="O99" s="36"/>
      <c r="P99" s="36"/>
      <c r="Q99" s="36"/>
      <c r="R99" s="36"/>
      <c r="S99" s="36"/>
      <c r="T99" s="36"/>
      <c r="U99" s="36"/>
    </row>
    <row r="100" spans="1:21" ht="24" customHeight="1" x14ac:dyDescent="0.2">
      <c r="A100" s="230" t="s">
        <v>2920</v>
      </c>
      <c r="B100" s="150" t="s">
        <v>2921</v>
      </c>
      <c r="C100" s="91" t="s">
        <v>3021</v>
      </c>
      <c r="D100" s="280">
        <v>0</v>
      </c>
      <c r="E100" s="36"/>
      <c r="F100" s="36"/>
      <c r="G100" s="36"/>
      <c r="H100" s="36"/>
      <c r="I100" s="36"/>
      <c r="J100" s="36"/>
      <c r="K100" s="36"/>
      <c r="L100" s="36"/>
      <c r="M100" s="36"/>
      <c r="N100" s="36"/>
      <c r="O100" s="36"/>
      <c r="P100" s="36"/>
      <c r="Q100" s="36"/>
      <c r="R100" s="36"/>
      <c r="S100" s="36"/>
      <c r="T100" s="36"/>
      <c r="U100" s="36"/>
    </row>
    <row r="101" spans="1:21" ht="24" customHeight="1" x14ac:dyDescent="0.2">
      <c r="A101" s="71"/>
      <c r="B101" s="72" t="s">
        <v>3022</v>
      </c>
      <c r="C101" s="91" t="s">
        <v>3023</v>
      </c>
      <c r="D101" s="286">
        <f>SUM(D102:D105)</f>
        <v>407423.4</v>
      </c>
      <c r="E101" s="36"/>
      <c r="F101" s="36"/>
      <c r="G101" s="36"/>
      <c r="H101" s="36"/>
      <c r="I101" s="36"/>
      <c r="J101" s="36"/>
      <c r="K101" s="36"/>
      <c r="L101" s="36"/>
      <c r="M101" s="36"/>
      <c r="N101" s="36"/>
      <c r="O101" s="36"/>
      <c r="P101" s="36"/>
      <c r="Q101" s="36"/>
      <c r="R101" s="36"/>
      <c r="S101" s="36"/>
      <c r="T101" s="36"/>
      <c r="U101" s="36"/>
    </row>
    <row r="102" spans="1:21" ht="12.75" customHeight="1" x14ac:dyDescent="0.2">
      <c r="A102" s="230"/>
      <c r="B102" s="150" t="s">
        <v>2892</v>
      </c>
      <c r="C102" s="91" t="s">
        <v>3024</v>
      </c>
      <c r="D102" s="280">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30" t="s">
        <v>2291</v>
      </c>
      <c r="B103" s="150" t="s">
        <v>2873</v>
      </c>
      <c r="C103" s="91" t="s">
        <v>3025</v>
      </c>
      <c r="D103" s="280">
        <v>5690.38</v>
      </c>
      <c r="E103" s="36"/>
      <c r="F103" s="36"/>
      <c r="G103" s="36"/>
      <c r="H103" s="36"/>
      <c r="I103" s="36"/>
      <c r="J103" s="36"/>
      <c r="K103" s="36"/>
      <c r="L103" s="36"/>
      <c r="M103" s="36"/>
      <c r="N103" s="36"/>
      <c r="O103" s="36"/>
      <c r="P103" s="36"/>
      <c r="Q103" s="36"/>
      <c r="R103" s="36"/>
      <c r="S103" s="36"/>
      <c r="T103" s="36"/>
      <c r="U103" s="36"/>
    </row>
    <row r="104" spans="1:21" ht="12.75" customHeight="1" x14ac:dyDescent="0.2">
      <c r="A104" s="230" t="s">
        <v>2315</v>
      </c>
      <c r="B104" s="150" t="s">
        <v>2316</v>
      </c>
      <c r="C104" s="91" t="s">
        <v>3026</v>
      </c>
      <c r="D104" s="280">
        <v>60817.2</v>
      </c>
      <c r="E104" s="36"/>
      <c r="F104" s="36"/>
      <c r="G104" s="36"/>
      <c r="H104" s="36"/>
      <c r="I104" s="36"/>
      <c r="J104" s="36"/>
      <c r="K104" s="36"/>
      <c r="L104" s="36"/>
      <c r="M104" s="36"/>
      <c r="N104" s="36"/>
      <c r="O104" s="36"/>
      <c r="P104" s="36"/>
      <c r="Q104" s="36"/>
      <c r="R104" s="36"/>
      <c r="S104" s="36"/>
      <c r="T104" s="36"/>
      <c r="U104" s="36"/>
    </row>
    <row r="105" spans="1:21" ht="12.75" customHeight="1" x14ac:dyDescent="0.2">
      <c r="A105" s="232" t="s">
        <v>2907</v>
      </c>
      <c r="B105" s="199" t="s">
        <v>3027</v>
      </c>
      <c r="C105" s="92" t="s">
        <v>3028</v>
      </c>
      <c r="D105" s="284">
        <v>340915.82</v>
      </c>
      <c r="E105" s="36"/>
      <c r="F105" s="36"/>
      <c r="G105" s="36"/>
      <c r="H105" s="36"/>
      <c r="I105" s="36"/>
      <c r="J105" s="36"/>
      <c r="K105" s="36"/>
      <c r="L105" s="36"/>
      <c r="M105" s="36"/>
      <c r="N105" s="36"/>
      <c r="O105" s="36"/>
      <c r="P105" s="36"/>
      <c r="Q105" s="36"/>
      <c r="R105" s="36"/>
      <c r="S105" s="36"/>
      <c r="T105" s="36"/>
      <c r="U105" s="36"/>
    </row>
    <row r="106" spans="1:21" ht="15" customHeight="1" x14ac:dyDescent="0.2">
      <c r="A106" s="101"/>
      <c r="B106" s="101"/>
      <c r="C106" s="107"/>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101"/>
      <c r="B107" s="101"/>
      <c r="C107" s="107"/>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101"/>
      <c r="B108" s="101"/>
      <c r="C108" s="108"/>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100"/>
      <c r="B109" s="100"/>
      <c r="C109" s="109"/>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100"/>
      <c r="B110" s="100"/>
      <c r="C110" s="109"/>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100"/>
      <c r="B111" s="100"/>
      <c r="C111" s="109"/>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100"/>
      <c r="B112" s="100"/>
      <c r="C112" s="109"/>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100"/>
      <c r="B113" s="100"/>
      <c r="C113" s="109"/>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100"/>
      <c r="B114" s="100"/>
      <c r="C114" s="109"/>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100"/>
      <c r="B115" s="100"/>
      <c r="C115" s="109"/>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100"/>
      <c r="B116" s="100"/>
      <c r="C116" s="109"/>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100"/>
      <c r="B117" s="100"/>
      <c r="C117" s="109"/>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100"/>
      <c r="B118" s="100"/>
      <c r="C118" s="109"/>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100"/>
      <c r="B119" s="100"/>
      <c r="C119" s="109"/>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100"/>
      <c r="B120" s="100"/>
      <c r="C120" s="109"/>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100"/>
      <c r="B121" s="100"/>
      <c r="C121" s="109"/>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100"/>
      <c r="B122" s="100"/>
      <c r="C122" s="109"/>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100"/>
      <c r="B123" s="100"/>
      <c r="C123" s="109"/>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100"/>
      <c r="B124" s="100"/>
      <c r="C124" s="109"/>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100"/>
      <c r="B125" s="100"/>
      <c r="C125" s="109"/>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100"/>
      <c r="B126" s="100"/>
      <c r="C126" s="109"/>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100"/>
      <c r="B127" s="100"/>
      <c r="C127" s="109"/>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100"/>
      <c r="B128" s="100"/>
      <c r="C128" s="109"/>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100"/>
      <c r="B129" s="100"/>
      <c r="C129" s="109"/>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100"/>
      <c r="B130" s="100"/>
      <c r="C130" s="109"/>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100"/>
      <c r="B131" s="100"/>
      <c r="C131" s="109"/>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100"/>
      <c r="B132" s="100"/>
      <c r="C132" s="109"/>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100"/>
      <c r="B133" s="100"/>
      <c r="C133" s="109"/>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100"/>
      <c r="B134" s="100"/>
      <c r="C134" s="109"/>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100"/>
      <c r="B135" s="100"/>
      <c r="C135" s="109"/>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100"/>
      <c r="B136" s="100"/>
      <c r="C136" s="109"/>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100"/>
      <c r="B137" s="100"/>
      <c r="C137" s="109"/>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100"/>
      <c r="B138" s="100"/>
      <c r="C138" s="109"/>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100"/>
      <c r="B139" s="100"/>
      <c r="C139" s="109"/>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100"/>
      <c r="B140" s="100"/>
      <c r="C140" s="109"/>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100"/>
      <c r="B141" s="100"/>
      <c r="C141" s="109"/>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100"/>
      <c r="B142" s="100"/>
      <c r="C142" s="109"/>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100"/>
      <c r="B143" s="100"/>
      <c r="C143" s="109"/>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100"/>
      <c r="B144" s="100"/>
      <c r="C144" s="109"/>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100"/>
      <c r="B145" s="100"/>
      <c r="C145" s="109"/>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100"/>
      <c r="B146" s="100"/>
      <c r="C146" s="109"/>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100"/>
      <c r="B147" s="100"/>
      <c r="C147" s="109"/>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100"/>
      <c r="B148" s="100"/>
      <c r="C148" s="109"/>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100"/>
      <c r="B149" s="100"/>
      <c r="C149" s="109"/>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100"/>
      <c r="B150" s="100"/>
      <c r="C150" s="109"/>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100"/>
      <c r="B151" s="100"/>
      <c r="C151" s="109"/>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100"/>
      <c r="B152" s="100"/>
      <c r="C152" s="109"/>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100"/>
      <c r="B153" s="100"/>
      <c r="C153" s="109"/>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100"/>
      <c r="B154" s="100"/>
      <c r="C154" s="109"/>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100"/>
      <c r="B155" s="100"/>
      <c r="C155" s="109"/>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100"/>
      <c r="B156" s="100"/>
      <c r="C156" s="109"/>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100"/>
      <c r="B157" s="100"/>
      <c r="C157" s="109"/>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100"/>
      <c r="B158" s="100"/>
      <c r="C158" s="109"/>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100"/>
      <c r="B159" s="100"/>
      <c r="C159" s="109"/>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100"/>
      <c r="B160" s="100"/>
      <c r="C160" s="109"/>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100"/>
      <c r="B161" s="100"/>
      <c r="C161" s="109"/>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100"/>
      <c r="B162" s="100"/>
      <c r="C162" s="109"/>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100"/>
      <c r="B163" s="100"/>
      <c r="C163" s="109"/>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100"/>
      <c r="B164" s="100"/>
      <c r="C164" s="109"/>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100"/>
      <c r="B165" s="100"/>
      <c r="C165" s="109"/>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100"/>
      <c r="B166" s="100"/>
      <c r="C166" s="109"/>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100"/>
      <c r="B167" s="100"/>
      <c r="C167" s="109"/>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100"/>
      <c r="B168" s="100"/>
      <c r="C168" s="109"/>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100"/>
      <c r="B169" s="100"/>
      <c r="C169" s="109"/>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100"/>
      <c r="B170" s="100"/>
      <c r="C170" s="109"/>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100"/>
      <c r="B171" s="100"/>
      <c r="C171" s="109"/>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100"/>
      <c r="B172" s="100"/>
      <c r="C172" s="109"/>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100"/>
      <c r="B173" s="100"/>
      <c r="C173" s="109"/>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100"/>
      <c r="B174" s="100"/>
      <c r="C174" s="109"/>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100"/>
      <c r="B175" s="100"/>
      <c r="C175" s="109"/>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100"/>
      <c r="B176" s="100"/>
      <c r="C176" s="109"/>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100"/>
      <c r="B177" s="100"/>
      <c r="C177" s="109"/>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100"/>
      <c r="B178" s="100"/>
      <c r="C178" s="109"/>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100"/>
      <c r="B179" s="100"/>
      <c r="C179" s="109"/>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100"/>
      <c r="B180" s="100"/>
      <c r="C180" s="109"/>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100"/>
      <c r="B181" s="100"/>
      <c r="C181" s="109"/>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100"/>
      <c r="B182" s="100"/>
      <c r="C182" s="109"/>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100"/>
      <c r="B183" s="100"/>
      <c r="C183" s="109"/>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100"/>
      <c r="B184" s="100"/>
      <c r="C184" s="109"/>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100"/>
      <c r="B185" s="100"/>
      <c r="C185" s="109"/>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100"/>
      <c r="B186" s="100"/>
      <c r="C186" s="109"/>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100"/>
      <c r="B187" s="100"/>
      <c r="C187" s="109"/>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100"/>
      <c r="B188" s="100"/>
      <c r="C188" s="109"/>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100"/>
      <c r="B189" s="100"/>
      <c r="C189" s="109"/>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100"/>
      <c r="B190" s="100"/>
      <c r="C190" s="109"/>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100"/>
      <c r="B191" s="100"/>
      <c r="C191" s="109"/>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100"/>
      <c r="B192" s="100"/>
      <c r="C192" s="109"/>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100"/>
      <c r="B193" s="100"/>
      <c r="C193" s="109"/>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100"/>
      <c r="B194" s="100"/>
      <c r="C194" s="109"/>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100"/>
      <c r="B195" s="100"/>
      <c r="C195" s="109"/>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100"/>
      <c r="B196" s="100"/>
      <c r="C196" s="109"/>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100"/>
      <c r="B197" s="100"/>
      <c r="C197" s="109"/>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100"/>
      <c r="B198" s="100"/>
      <c r="C198" s="109"/>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100"/>
      <c r="B199" s="100"/>
      <c r="C199" s="109"/>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100"/>
      <c r="B200" s="100"/>
      <c r="C200" s="109"/>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100"/>
      <c r="B201" s="100"/>
      <c r="C201" s="109"/>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100"/>
      <c r="B202" s="100"/>
      <c r="C202" s="109"/>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100"/>
      <c r="B203" s="100"/>
      <c r="C203" s="109"/>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100"/>
      <c r="B204" s="100"/>
      <c r="C204" s="109"/>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100"/>
      <c r="B205" s="100"/>
      <c r="C205" s="109"/>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100"/>
      <c r="B206" s="100"/>
      <c r="C206" s="109"/>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100"/>
      <c r="B207" s="100"/>
      <c r="C207" s="109"/>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100"/>
      <c r="B208" s="100"/>
      <c r="C208" s="109"/>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100"/>
      <c r="B209" s="100"/>
      <c r="C209" s="109"/>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100"/>
      <c r="B210" s="100"/>
      <c r="C210" s="109"/>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100"/>
      <c r="B211" s="100"/>
      <c r="C211" s="109"/>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100"/>
      <c r="B212" s="100"/>
      <c r="C212" s="109"/>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100"/>
      <c r="B213" s="100"/>
      <c r="C213" s="109"/>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100"/>
      <c r="B214" s="100"/>
      <c r="C214" s="109"/>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100"/>
      <c r="B215" s="100"/>
      <c r="C215" s="109"/>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100"/>
      <c r="B216" s="100"/>
      <c r="C216" s="109"/>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100"/>
      <c r="B217" s="100"/>
      <c r="C217" s="109"/>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100"/>
      <c r="B218" s="100"/>
      <c r="C218" s="109"/>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100"/>
      <c r="B219" s="100"/>
      <c r="C219" s="109"/>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100"/>
      <c r="B220" s="100"/>
      <c r="C220" s="109"/>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100"/>
      <c r="B221" s="100"/>
      <c r="C221" s="109"/>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100"/>
      <c r="B222" s="100"/>
      <c r="C222" s="109"/>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100"/>
      <c r="B223" s="100"/>
      <c r="C223" s="109"/>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100"/>
      <c r="B224" s="100"/>
      <c r="C224" s="109"/>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100"/>
      <c r="B225" s="100"/>
      <c r="C225" s="109"/>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100"/>
      <c r="B226" s="100"/>
      <c r="C226" s="109"/>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100"/>
      <c r="B227" s="100"/>
      <c r="C227" s="109"/>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100"/>
      <c r="B228" s="100"/>
      <c r="C228" s="109"/>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100"/>
      <c r="B229" s="100"/>
      <c r="C229" s="109"/>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100"/>
      <c r="B230" s="100"/>
      <c r="C230" s="109"/>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100"/>
      <c r="B231" s="100"/>
      <c r="C231" s="109"/>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100"/>
      <c r="B232" s="100"/>
      <c r="C232" s="109"/>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100"/>
      <c r="B233" s="100"/>
      <c r="C233" s="109"/>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100"/>
      <c r="B234" s="100"/>
      <c r="C234" s="109"/>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100"/>
      <c r="B235" s="100"/>
      <c r="C235" s="109"/>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100"/>
      <c r="B236" s="100"/>
      <c r="C236" s="109"/>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100"/>
      <c r="B237" s="100"/>
      <c r="C237" s="109"/>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100"/>
      <c r="B238" s="100"/>
      <c r="C238" s="109"/>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100"/>
      <c r="B239" s="100"/>
      <c r="C239" s="109"/>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100"/>
      <c r="B240" s="100"/>
      <c r="C240" s="109"/>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100"/>
      <c r="B241" s="100"/>
      <c r="C241" s="109"/>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100"/>
      <c r="B242" s="100"/>
      <c r="C242" s="109"/>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100"/>
      <c r="B243" s="100"/>
      <c r="C243" s="109"/>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100"/>
      <c r="B244" s="100"/>
      <c r="C244" s="109"/>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100"/>
      <c r="B245" s="100"/>
      <c r="C245" s="109"/>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100"/>
      <c r="B246" s="100"/>
      <c r="C246" s="109"/>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100"/>
      <c r="B247" s="100"/>
      <c r="C247" s="109"/>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100"/>
      <c r="B248" s="100"/>
      <c r="C248" s="109"/>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100"/>
      <c r="B249" s="100"/>
      <c r="C249" s="109"/>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100"/>
      <c r="B250" s="100"/>
      <c r="C250" s="109"/>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100"/>
      <c r="B251" s="100"/>
      <c r="C251" s="109"/>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100"/>
      <c r="B252" s="100"/>
      <c r="C252" s="109"/>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100"/>
      <c r="B253" s="100"/>
      <c r="C253" s="109"/>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100"/>
      <c r="B254" s="100"/>
      <c r="C254" s="109"/>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100"/>
      <c r="B255" s="100"/>
      <c r="C255" s="109"/>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100"/>
      <c r="B256" s="100"/>
      <c r="C256" s="109"/>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100"/>
      <c r="B257" s="100"/>
      <c r="C257" s="109"/>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100"/>
      <c r="B258" s="100"/>
      <c r="C258" s="109"/>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100"/>
      <c r="B259" s="100"/>
      <c r="C259" s="109"/>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100"/>
      <c r="B260" s="100"/>
      <c r="C260" s="109"/>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100"/>
      <c r="B261" s="100"/>
      <c r="C261" s="109"/>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100"/>
      <c r="B262" s="100"/>
      <c r="C262" s="109"/>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100"/>
      <c r="B263" s="100"/>
      <c r="C263" s="109"/>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100"/>
      <c r="B264" s="100"/>
      <c r="C264" s="109"/>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100"/>
      <c r="B265" s="100"/>
      <c r="C265" s="109"/>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100"/>
      <c r="B266" s="100"/>
      <c r="C266" s="109"/>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100"/>
      <c r="B267" s="100"/>
      <c r="C267" s="109"/>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100"/>
      <c r="B268" s="100"/>
      <c r="C268" s="109"/>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100"/>
      <c r="B269" s="100"/>
      <c r="C269" s="109"/>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100"/>
      <c r="B270" s="100"/>
      <c r="C270" s="109"/>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100"/>
      <c r="B271" s="100"/>
      <c r="C271" s="109"/>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100"/>
      <c r="B272" s="100"/>
      <c r="C272" s="109"/>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100"/>
      <c r="B273" s="100"/>
      <c r="C273" s="109"/>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100"/>
      <c r="B274" s="100"/>
      <c r="C274" s="109"/>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100"/>
      <c r="B275" s="100"/>
      <c r="C275" s="109"/>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100"/>
      <c r="B276" s="100"/>
      <c r="C276" s="109"/>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100"/>
      <c r="B277" s="100"/>
      <c r="C277" s="109"/>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100"/>
      <c r="B278" s="100"/>
      <c r="C278" s="109"/>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100"/>
      <c r="B279" s="100"/>
      <c r="C279" s="109"/>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100"/>
      <c r="B280" s="100"/>
      <c r="C280" s="109"/>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100"/>
      <c r="B281" s="100"/>
      <c r="C281" s="109"/>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100"/>
      <c r="B282" s="100"/>
      <c r="C282" s="109"/>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100"/>
      <c r="B283" s="100"/>
      <c r="C283" s="109"/>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100"/>
      <c r="B284" s="100"/>
      <c r="C284" s="109"/>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100"/>
      <c r="B285" s="100"/>
      <c r="C285" s="109"/>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100"/>
      <c r="B286" s="100"/>
      <c r="C286" s="109"/>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100"/>
      <c r="B287" s="100"/>
      <c r="C287" s="109"/>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100"/>
      <c r="B288" s="100"/>
      <c r="C288" s="109"/>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100"/>
      <c r="B289" s="100"/>
      <c r="C289" s="109"/>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100"/>
      <c r="B290" s="100"/>
      <c r="C290" s="109"/>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100"/>
      <c r="B291" s="100"/>
      <c r="C291" s="109"/>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100"/>
      <c r="B292" s="100"/>
      <c r="C292" s="109"/>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100"/>
      <c r="B293" s="100"/>
      <c r="C293" s="109"/>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100"/>
      <c r="B294" s="100"/>
      <c r="C294" s="109"/>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100"/>
      <c r="B295" s="100"/>
      <c r="C295" s="109"/>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100"/>
      <c r="B296" s="100"/>
      <c r="C296" s="109"/>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100"/>
      <c r="B297" s="100"/>
      <c r="C297" s="109"/>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100"/>
      <c r="B298" s="100"/>
      <c r="C298" s="109"/>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100"/>
      <c r="B299" s="100"/>
      <c r="C299" s="109"/>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100"/>
      <c r="B300" s="100"/>
      <c r="C300" s="109"/>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100"/>
      <c r="B301" s="100"/>
      <c r="C301" s="109"/>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100"/>
      <c r="B302" s="100"/>
      <c r="C302" s="109"/>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100"/>
      <c r="B303" s="100"/>
      <c r="C303" s="109"/>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C304" s="109"/>
    </row>
    <row r="305" spans="3:3" ht="15.75" customHeight="1" x14ac:dyDescent="0.2">
      <c r="C305" s="109"/>
    </row>
    <row r="306" spans="3:3" ht="15.75" customHeight="1" x14ac:dyDescent="0.2">
      <c r="C306" s="109"/>
    </row>
    <row r="307" spans="3:3" ht="15.75" customHeight="1" x14ac:dyDescent="0.2">
      <c r="C307" s="109"/>
    </row>
    <row r="308" spans="3:3" ht="15.75" customHeight="1" x14ac:dyDescent="0.2">
      <c r="C308" s="109"/>
    </row>
    <row r="309" spans="3:3" ht="15.75" customHeight="1" x14ac:dyDescent="0.2">
      <c r="C309" s="109"/>
    </row>
    <row r="310" spans="3:3" ht="15.75" customHeight="1" x14ac:dyDescent="0.2">
      <c r="C310" s="109"/>
    </row>
    <row r="311" spans="3:3" ht="15.75" customHeight="1" x14ac:dyDescent="0.2">
      <c r="C311" s="109"/>
    </row>
    <row r="312" spans="3:3" ht="15.75" customHeight="1" x14ac:dyDescent="0.2">
      <c r="C312" s="109"/>
    </row>
    <row r="313" spans="3:3" ht="15.75" customHeight="1" x14ac:dyDescent="0.2">
      <c r="C313" s="109"/>
    </row>
    <row r="314" spans="3:3" ht="15.75" customHeight="1" x14ac:dyDescent="0.2">
      <c r="C314" s="109"/>
    </row>
    <row r="315" spans="3:3" ht="15.75" customHeight="1" x14ac:dyDescent="0.2">
      <c r="C315" s="109"/>
    </row>
    <row r="316" spans="3:3" ht="15.75" customHeight="1" x14ac:dyDescent="0.2">
      <c r="C316" s="109"/>
    </row>
    <row r="317" spans="3:3" ht="15.75" customHeight="1" x14ac:dyDescent="0.2">
      <c r="C317" s="109"/>
    </row>
    <row r="318" spans="3:3" ht="15.75" customHeight="1" x14ac:dyDescent="0.2">
      <c r="C318" s="109"/>
    </row>
    <row r="319" spans="3:3" ht="15.75" customHeight="1" x14ac:dyDescent="0.2">
      <c r="C319" s="109"/>
    </row>
    <row r="320" spans="3:3" ht="15.75" customHeight="1" x14ac:dyDescent="0.2">
      <c r="C320" s="109"/>
    </row>
    <row r="321" spans="3:3" ht="15.75" customHeight="1" x14ac:dyDescent="0.2">
      <c r="C321" s="109"/>
    </row>
    <row r="322" spans="3:3" ht="15.75" customHeight="1" x14ac:dyDescent="0.2">
      <c r="C322" s="109"/>
    </row>
    <row r="323" spans="3:3" ht="15.75" customHeight="1" x14ac:dyDescent="0.2">
      <c r="C323" s="109"/>
    </row>
    <row r="324" spans="3:3" ht="15.75" customHeight="1" x14ac:dyDescent="0.2">
      <c r="C324" s="109"/>
    </row>
    <row r="325" spans="3:3" ht="15.75" customHeight="1" x14ac:dyDescent="0.2">
      <c r="C325" s="109"/>
    </row>
    <row r="326" spans="3:3" ht="15.75" customHeight="1" x14ac:dyDescent="0.2">
      <c r="C326" s="109"/>
    </row>
    <row r="327" spans="3:3" ht="15.75" customHeight="1" x14ac:dyDescent="0.2">
      <c r="C327" s="109"/>
    </row>
    <row r="328" spans="3:3" ht="15.75" customHeight="1" x14ac:dyDescent="0.2">
      <c r="C328" s="109"/>
    </row>
    <row r="329" spans="3:3" ht="15.75" customHeight="1" x14ac:dyDescent="0.2">
      <c r="C329" s="109"/>
    </row>
    <row r="330" spans="3:3" ht="15.75" customHeight="1" x14ac:dyDescent="0.2">
      <c r="C330" s="109"/>
    </row>
    <row r="331" spans="3:3" ht="15.75" customHeight="1" x14ac:dyDescent="0.2">
      <c r="C331" s="109"/>
    </row>
    <row r="332" spans="3:3" ht="15.75" customHeight="1" x14ac:dyDescent="0.2">
      <c r="C332" s="109"/>
    </row>
    <row r="333" spans="3:3" ht="15.75" customHeight="1" x14ac:dyDescent="0.2">
      <c r="C333" s="109"/>
    </row>
    <row r="334" spans="3:3" ht="15.75" customHeight="1" x14ac:dyDescent="0.2">
      <c r="C334" s="109"/>
    </row>
    <row r="335" spans="3:3" ht="15.75" customHeight="1" x14ac:dyDescent="0.2">
      <c r="C335" s="109"/>
    </row>
    <row r="336" spans="3:3" ht="15.75" customHeight="1" x14ac:dyDescent="0.2">
      <c r="C336" s="109"/>
    </row>
    <row r="337" spans="3:3" ht="15.75" customHeight="1" x14ac:dyDescent="0.2">
      <c r="C337" s="109"/>
    </row>
    <row r="338" spans="3:3" ht="15.75" customHeight="1" x14ac:dyDescent="0.2">
      <c r="C338" s="109"/>
    </row>
    <row r="339" spans="3:3" ht="15.75" customHeight="1" x14ac:dyDescent="0.2">
      <c r="C339" s="109"/>
    </row>
    <row r="340" spans="3:3" ht="15.75" customHeight="1" x14ac:dyDescent="0.2">
      <c r="C340" s="109"/>
    </row>
    <row r="341" spans="3:3" ht="15.75" customHeight="1" x14ac:dyDescent="0.2">
      <c r="C341" s="109"/>
    </row>
    <row r="342" spans="3:3" ht="15.75" customHeight="1" x14ac:dyDescent="0.2">
      <c r="C342" s="109"/>
    </row>
    <row r="343" spans="3:3" ht="15.75" customHeight="1" x14ac:dyDescent="0.2">
      <c r="C343" s="109"/>
    </row>
    <row r="344" spans="3:3" ht="15.75" customHeight="1" x14ac:dyDescent="0.2">
      <c r="C344" s="109"/>
    </row>
    <row r="345" spans="3:3" ht="15.75" customHeight="1" x14ac:dyDescent="0.2">
      <c r="C345" s="109"/>
    </row>
    <row r="346" spans="3:3" ht="15.75" customHeight="1" x14ac:dyDescent="0.2">
      <c r="C346" s="109"/>
    </row>
    <row r="347" spans="3:3" ht="15.75" customHeight="1" x14ac:dyDescent="0.2">
      <c r="C347" s="109"/>
    </row>
    <row r="348" spans="3:3" ht="15.75" customHeight="1" x14ac:dyDescent="0.2">
      <c r="C348" s="109"/>
    </row>
    <row r="349" spans="3:3" ht="15.75" customHeight="1" x14ac:dyDescent="0.2">
      <c r="C349" s="109"/>
    </row>
    <row r="350" spans="3:3" ht="15.75" customHeight="1" x14ac:dyDescent="0.2">
      <c r="C350" s="109"/>
    </row>
    <row r="351" spans="3:3" ht="15.75" customHeight="1" x14ac:dyDescent="0.2">
      <c r="C351" s="109"/>
    </row>
    <row r="352" spans="3:3" ht="15.75" customHeight="1" x14ac:dyDescent="0.2">
      <c r="C352" s="109"/>
    </row>
    <row r="353" spans="3:3" ht="15.75" customHeight="1" x14ac:dyDescent="0.2">
      <c r="C353" s="109"/>
    </row>
    <row r="354" spans="3:3" ht="15.75" customHeight="1" x14ac:dyDescent="0.2">
      <c r="C354" s="109"/>
    </row>
    <row r="355" spans="3:3" ht="15.75" customHeight="1" x14ac:dyDescent="0.2">
      <c r="C355" s="109"/>
    </row>
    <row r="356" spans="3:3" ht="15.75" customHeight="1" x14ac:dyDescent="0.2">
      <c r="C356" s="109"/>
    </row>
    <row r="357" spans="3:3" ht="15.75" customHeight="1" x14ac:dyDescent="0.2">
      <c r="C357" s="109"/>
    </row>
    <row r="358" spans="3:3" ht="15.75" customHeight="1" x14ac:dyDescent="0.2">
      <c r="C358" s="109"/>
    </row>
    <row r="359" spans="3:3" ht="15.75" customHeight="1" x14ac:dyDescent="0.2">
      <c r="C359" s="109"/>
    </row>
    <row r="360" spans="3:3" ht="15.75" customHeight="1" x14ac:dyDescent="0.2">
      <c r="C360" s="109"/>
    </row>
    <row r="361" spans="3:3" ht="15.75" customHeight="1" x14ac:dyDescent="0.2">
      <c r="C361" s="109"/>
    </row>
    <row r="362" spans="3:3" ht="15.75" customHeight="1" x14ac:dyDescent="0.2">
      <c r="C362" s="109"/>
    </row>
    <row r="363" spans="3:3" ht="15.75" customHeight="1" x14ac:dyDescent="0.2">
      <c r="C363" s="109"/>
    </row>
    <row r="364" spans="3:3" ht="15.75" customHeight="1" x14ac:dyDescent="0.2">
      <c r="C364" s="109"/>
    </row>
    <row r="365" spans="3:3" ht="15.75" customHeight="1" x14ac:dyDescent="0.2">
      <c r="C365" s="109"/>
    </row>
    <row r="366" spans="3:3" ht="15.75" customHeight="1" x14ac:dyDescent="0.2">
      <c r="C366" s="109"/>
    </row>
    <row r="367" spans="3:3" ht="15.75" customHeight="1" x14ac:dyDescent="0.2">
      <c r="C367" s="109"/>
    </row>
    <row r="368" spans="3:3" ht="15.75" customHeight="1" x14ac:dyDescent="0.2">
      <c r="C368" s="109"/>
    </row>
    <row r="369" spans="3:3" ht="15.75" customHeight="1" x14ac:dyDescent="0.2">
      <c r="C369" s="109"/>
    </row>
    <row r="370" spans="3:3" ht="15.75" customHeight="1" x14ac:dyDescent="0.2">
      <c r="C370" s="109"/>
    </row>
    <row r="371" spans="3:3" ht="15.75" customHeight="1" x14ac:dyDescent="0.2">
      <c r="C371" s="109"/>
    </row>
    <row r="372" spans="3:3" ht="15.75" customHeight="1" x14ac:dyDescent="0.2">
      <c r="C372" s="109"/>
    </row>
    <row r="373" spans="3:3" ht="15.75" customHeight="1" x14ac:dyDescent="0.2">
      <c r="C373" s="109"/>
    </row>
    <row r="374" spans="3:3" ht="15.75" customHeight="1" x14ac:dyDescent="0.2">
      <c r="C374" s="109"/>
    </row>
    <row r="375" spans="3:3" ht="15.75" customHeight="1" x14ac:dyDescent="0.2">
      <c r="C375" s="109"/>
    </row>
    <row r="376" spans="3:3" ht="15.75" customHeight="1" x14ac:dyDescent="0.2">
      <c r="C376" s="109"/>
    </row>
    <row r="377" spans="3:3" ht="15.75" customHeight="1" x14ac:dyDescent="0.2">
      <c r="C377" s="109"/>
    </row>
    <row r="378" spans="3:3" ht="15.75" customHeight="1" x14ac:dyDescent="0.2">
      <c r="C378" s="109"/>
    </row>
    <row r="379" spans="3:3" ht="15.75" customHeight="1" x14ac:dyDescent="0.2">
      <c r="C379" s="109"/>
    </row>
    <row r="380" spans="3:3" ht="15.75" customHeight="1" x14ac:dyDescent="0.2">
      <c r="C380" s="109"/>
    </row>
    <row r="381" spans="3:3" ht="15.75" customHeight="1" x14ac:dyDescent="0.2">
      <c r="C381" s="109"/>
    </row>
    <row r="382" spans="3:3" ht="15.75" customHeight="1" x14ac:dyDescent="0.2">
      <c r="C382" s="109"/>
    </row>
    <row r="383" spans="3:3" ht="15.75" customHeight="1" x14ac:dyDescent="0.2">
      <c r="C383" s="109"/>
    </row>
    <row r="384" spans="3:3" ht="15.75" customHeight="1" x14ac:dyDescent="0.2">
      <c r="C384" s="109"/>
    </row>
    <row r="385" spans="3:3" ht="15.75" customHeight="1" x14ac:dyDescent="0.2">
      <c r="C385" s="109"/>
    </row>
    <row r="386" spans="3:3" ht="15.75" customHeight="1" x14ac:dyDescent="0.2">
      <c r="C386" s="109"/>
    </row>
    <row r="387" spans="3:3" ht="15.75" customHeight="1" x14ac:dyDescent="0.2">
      <c r="C387" s="109"/>
    </row>
    <row r="388" spans="3:3" ht="15.75" customHeight="1" x14ac:dyDescent="0.2">
      <c r="C388" s="109"/>
    </row>
    <row r="389" spans="3:3" ht="15.75" customHeight="1" x14ac:dyDescent="0.2">
      <c r="C389" s="109"/>
    </row>
    <row r="390" spans="3:3" ht="15.75" customHeight="1" x14ac:dyDescent="0.2">
      <c r="C390" s="109"/>
    </row>
    <row r="391" spans="3:3" ht="15.75" customHeight="1" x14ac:dyDescent="0.2">
      <c r="C391" s="109"/>
    </row>
    <row r="392" spans="3:3" ht="15.75" customHeight="1" x14ac:dyDescent="0.2">
      <c r="C392" s="109"/>
    </row>
    <row r="393" spans="3:3" ht="15.75" customHeight="1" x14ac:dyDescent="0.2">
      <c r="C393" s="109"/>
    </row>
    <row r="394" spans="3:3" ht="15.75" customHeight="1" x14ac:dyDescent="0.2">
      <c r="C394" s="109"/>
    </row>
    <row r="395" spans="3:3" ht="15.75" customHeight="1" x14ac:dyDescent="0.2">
      <c r="C395" s="109"/>
    </row>
    <row r="396" spans="3:3" ht="15.75" customHeight="1" x14ac:dyDescent="0.2">
      <c r="C396" s="109"/>
    </row>
    <row r="397" spans="3:3" ht="15.75" customHeight="1" x14ac:dyDescent="0.2">
      <c r="C397" s="109"/>
    </row>
    <row r="398" spans="3:3" ht="15.75" customHeight="1" x14ac:dyDescent="0.2">
      <c r="C398" s="109"/>
    </row>
    <row r="399" spans="3:3" ht="15.75" customHeight="1" x14ac:dyDescent="0.2">
      <c r="C399" s="109"/>
    </row>
    <row r="400" spans="3:3" ht="15.75" customHeight="1" x14ac:dyDescent="0.2">
      <c r="C400" s="109"/>
    </row>
    <row r="401" spans="3:3" ht="15.75" customHeight="1" x14ac:dyDescent="0.2">
      <c r="C401" s="109"/>
    </row>
    <row r="402" spans="3:3" ht="15.75" customHeight="1" x14ac:dyDescent="0.2">
      <c r="C402" s="109"/>
    </row>
    <row r="403" spans="3:3" ht="15.75" customHeight="1" x14ac:dyDescent="0.2">
      <c r="C403" s="109"/>
    </row>
    <row r="404" spans="3:3" ht="15.75" customHeight="1" x14ac:dyDescent="0.2">
      <c r="C404" s="109"/>
    </row>
    <row r="405" spans="3:3" ht="15.75" customHeight="1" x14ac:dyDescent="0.2">
      <c r="C405" s="109"/>
    </row>
    <row r="406" spans="3:3" ht="15.75" customHeight="1" x14ac:dyDescent="0.2">
      <c r="C406" s="109"/>
    </row>
    <row r="407" spans="3:3" ht="15.75" customHeight="1" x14ac:dyDescent="0.2">
      <c r="C407" s="109"/>
    </row>
    <row r="408" spans="3:3" ht="15.75" customHeight="1" x14ac:dyDescent="0.2">
      <c r="C408" s="109"/>
    </row>
    <row r="409" spans="3:3" ht="15.75" customHeight="1" x14ac:dyDescent="0.2">
      <c r="C409" s="109"/>
    </row>
    <row r="410" spans="3:3" ht="15.75" customHeight="1" x14ac:dyDescent="0.2">
      <c r="C410" s="109"/>
    </row>
    <row r="411" spans="3:3" ht="15.75" customHeight="1" x14ac:dyDescent="0.2">
      <c r="C411" s="109"/>
    </row>
    <row r="412" spans="3:3" ht="15.75" customHeight="1" x14ac:dyDescent="0.2">
      <c r="C412" s="109"/>
    </row>
    <row r="413" spans="3:3" ht="15.75" customHeight="1" x14ac:dyDescent="0.2">
      <c r="C413" s="109"/>
    </row>
    <row r="414" spans="3:3" ht="15.75" customHeight="1" x14ac:dyDescent="0.2">
      <c r="C414" s="109"/>
    </row>
    <row r="415" spans="3:3" ht="15.75" customHeight="1" x14ac:dyDescent="0.2">
      <c r="C415" s="109"/>
    </row>
    <row r="416" spans="3:3" ht="15.75" customHeight="1" x14ac:dyDescent="0.2">
      <c r="C416" s="109"/>
    </row>
    <row r="417" spans="3:3" ht="15.75" customHeight="1" x14ac:dyDescent="0.2">
      <c r="C417" s="109"/>
    </row>
    <row r="418" spans="3:3" ht="15.75" customHeight="1" x14ac:dyDescent="0.2">
      <c r="C418" s="109"/>
    </row>
    <row r="419" spans="3:3" ht="15.75" customHeight="1" x14ac:dyDescent="0.2">
      <c r="C419" s="109"/>
    </row>
    <row r="420" spans="3:3" ht="15.75" customHeight="1" x14ac:dyDescent="0.2">
      <c r="C420" s="109"/>
    </row>
    <row r="421" spans="3:3" ht="15.75" customHeight="1" x14ac:dyDescent="0.2">
      <c r="C421" s="109"/>
    </row>
    <row r="422" spans="3:3" ht="15.75" customHeight="1" x14ac:dyDescent="0.2">
      <c r="C422" s="109"/>
    </row>
    <row r="423" spans="3:3" ht="15.75" customHeight="1" x14ac:dyDescent="0.2">
      <c r="C423" s="109"/>
    </row>
    <row r="424" spans="3:3" ht="15.75" customHeight="1" x14ac:dyDescent="0.2">
      <c r="C424" s="109"/>
    </row>
    <row r="425" spans="3:3" ht="15.75" customHeight="1" x14ac:dyDescent="0.2">
      <c r="C425" s="109"/>
    </row>
    <row r="426" spans="3:3" ht="15.75" customHeight="1" x14ac:dyDescent="0.2">
      <c r="C426" s="109"/>
    </row>
    <row r="427" spans="3:3" ht="15.75" customHeight="1" x14ac:dyDescent="0.2">
      <c r="C427" s="109"/>
    </row>
    <row r="428" spans="3:3" ht="15.75" customHeight="1" x14ac:dyDescent="0.2">
      <c r="C428" s="109"/>
    </row>
    <row r="429" spans="3:3" ht="15.75" customHeight="1" x14ac:dyDescent="0.2">
      <c r="C429" s="109"/>
    </row>
    <row r="430" spans="3:3" ht="15.75" customHeight="1" x14ac:dyDescent="0.2">
      <c r="C430" s="109"/>
    </row>
    <row r="431" spans="3:3" ht="15.75" customHeight="1" x14ac:dyDescent="0.2">
      <c r="C431" s="109"/>
    </row>
    <row r="432" spans="3:3" ht="15.75" customHeight="1" x14ac:dyDescent="0.2">
      <c r="C432" s="109"/>
    </row>
    <row r="433" spans="3:3" ht="15.75" customHeight="1" x14ac:dyDescent="0.2">
      <c r="C433" s="109"/>
    </row>
    <row r="434" spans="3:3" ht="15.75" customHeight="1" x14ac:dyDescent="0.2">
      <c r="C434" s="109"/>
    </row>
    <row r="435" spans="3:3" ht="15.75" customHeight="1" x14ac:dyDescent="0.2">
      <c r="C435" s="109"/>
    </row>
    <row r="436" spans="3:3" ht="15.75" customHeight="1" x14ac:dyDescent="0.2">
      <c r="C436" s="109"/>
    </row>
    <row r="437" spans="3:3" ht="15.75" customHeight="1" x14ac:dyDescent="0.2">
      <c r="C437" s="109"/>
    </row>
    <row r="438" spans="3:3" ht="15.75" customHeight="1" x14ac:dyDescent="0.2">
      <c r="C438" s="109"/>
    </row>
    <row r="439" spans="3:3" ht="15.75" customHeight="1" x14ac:dyDescent="0.2">
      <c r="C439" s="109"/>
    </row>
    <row r="440" spans="3:3" ht="15.75" customHeight="1" x14ac:dyDescent="0.2">
      <c r="C440" s="109"/>
    </row>
    <row r="441" spans="3:3" ht="15.75" customHeight="1" x14ac:dyDescent="0.2">
      <c r="C441" s="109"/>
    </row>
    <row r="442" spans="3:3" ht="15.75" customHeight="1" x14ac:dyDescent="0.2">
      <c r="C442" s="109"/>
    </row>
    <row r="443" spans="3:3" ht="15.75" customHeight="1" x14ac:dyDescent="0.2">
      <c r="C443" s="109"/>
    </row>
    <row r="444" spans="3:3" ht="15.75" customHeight="1" x14ac:dyDescent="0.2">
      <c r="C444" s="109"/>
    </row>
    <row r="445" spans="3:3" ht="15.75" customHeight="1" x14ac:dyDescent="0.2">
      <c r="C445" s="109"/>
    </row>
    <row r="446" spans="3:3" ht="15.75" customHeight="1" x14ac:dyDescent="0.2">
      <c r="C446" s="109"/>
    </row>
    <row r="447" spans="3:3" ht="15.75" customHeight="1" x14ac:dyDescent="0.2">
      <c r="C447" s="109"/>
    </row>
    <row r="448" spans="3:3" ht="15.75" customHeight="1" x14ac:dyDescent="0.2">
      <c r="C448" s="109"/>
    </row>
    <row r="449" spans="3:3" ht="15.75" customHeight="1" x14ac:dyDescent="0.2">
      <c r="C449" s="109"/>
    </row>
    <row r="450" spans="3:3" ht="15.75" customHeight="1" x14ac:dyDescent="0.2">
      <c r="C450" s="109"/>
    </row>
    <row r="451" spans="3:3" ht="15.75" customHeight="1" x14ac:dyDescent="0.2">
      <c r="C451" s="109"/>
    </row>
    <row r="452" spans="3:3" ht="15.75" customHeight="1" x14ac:dyDescent="0.2">
      <c r="C452" s="109"/>
    </row>
    <row r="453" spans="3:3" ht="15.75" customHeight="1" x14ac:dyDescent="0.2">
      <c r="C453" s="109"/>
    </row>
    <row r="454" spans="3:3" ht="15.75" customHeight="1" x14ac:dyDescent="0.2">
      <c r="C454" s="109"/>
    </row>
    <row r="455" spans="3:3" ht="15.75" customHeight="1" x14ac:dyDescent="0.2">
      <c r="C455" s="109"/>
    </row>
    <row r="456" spans="3:3" ht="15.75" customHeight="1" x14ac:dyDescent="0.2">
      <c r="C456" s="109"/>
    </row>
    <row r="457" spans="3:3" ht="15.75" customHeight="1" x14ac:dyDescent="0.2">
      <c r="C457" s="109"/>
    </row>
    <row r="458" spans="3:3" ht="15.75" customHeight="1" x14ac:dyDescent="0.2">
      <c r="C458" s="109"/>
    </row>
    <row r="459" spans="3:3" ht="15.75" customHeight="1" x14ac:dyDescent="0.2">
      <c r="C459" s="109"/>
    </row>
    <row r="460" spans="3:3" ht="15.75" customHeight="1" x14ac:dyDescent="0.2">
      <c r="C460" s="109"/>
    </row>
    <row r="461" spans="3:3" ht="15.75" customHeight="1" x14ac:dyDescent="0.2">
      <c r="C461" s="109"/>
    </row>
    <row r="462" spans="3:3" ht="15.75" customHeight="1" x14ac:dyDescent="0.2">
      <c r="C462" s="109"/>
    </row>
    <row r="463" spans="3:3" ht="15.75" customHeight="1" x14ac:dyDescent="0.2">
      <c r="C463" s="109"/>
    </row>
    <row r="464" spans="3:3" ht="15.75" customHeight="1" x14ac:dyDescent="0.2">
      <c r="C464" s="109"/>
    </row>
    <row r="465" spans="3:3" ht="15.75" customHeight="1" x14ac:dyDescent="0.2">
      <c r="C465" s="109"/>
    </row>
    <row r="466" spans="3:3" ht="15.75" customHeight="1" x14ac:dyDescent="0.2">
      <c r="C466" s="109"/>
    </row>
    <row r="467" spans="3:3" ht="15.75" customHeight="1" x14ac:dyDescent="0.2">
      <c r="C467" s="109"/>
    </row>
    <row r="468" spans="3:3" ht="15.75" customHeight="1" x14ac:dyDescent="0.2">
      <c r="C468" s="109"/>
    </row>
    <row r="469" spans="3:3" ht="15.75" customHeight="1" x14ac:dyDescent="0.2">
      <c r="C469" s="109"/>
    </row>
    <row r="470" spans="3:3" ht="15.75" customHeight="1" x14ac:dyDescent="0.2">
      <c r="C470" s="109"/>
    </row>
    <row r="471" spans="3:3" ht="15.75" customHeight="1" x14ac:dyDescent="0.2">
      <c r="C471" s="109"/>
    </row>
    <row r="472" spans="3:3" ht="15.75" customHeight="1" x14ac:dyDescent="0.2">
      <c r="C472" s="109"/>
    </row>
    <row r="473" spans="3:3" ht="15.75" customHeight="1" x14ac:dyDescent="0.2">
      <c r="C473" s="109"/>
    </row>
    <row r="474" spans="3:3" ht="15.75" customHeight="1" x14ac:dyDescent="0.2">
      <c r="C474" s="109"/>
    </row>
    <row r="475" spans="3:3" ht="15.75" customHeight="1" x14ac:dyDescent="0.2">
      <c r="C475" s="109"/>
    </row>
    <row r="476" spans="3:3" ht="15.75" customHeight="1" x14ac:dyDescent="0.2">
      <c r="C476" s="109"/>
    </row>
    <row r="477" spans="3:3" ht="15.75" customHeight="1" x14ac:dyDescent="0.2">
      <c r="C477" s="109"/>
    </row>
    <row r="478" spans="3:3" ht="15.75" customHeight="1" x14ac:dyDescent="0.2">
      <c r="C478" s="109"/>
    </row>
    <row r="479" spans="3:3" ht="15.75" customHeight="1" x14ac:dyDescent="0.2">
      <c r="C479" s="109"/>
    </row>
    <row r="480" spans="3:3" ht="15.75" customHeight="1" x14ac:dyDescent="0.2">
      <c r="C480" s="109"/>
    </row>
    <row r="481" spans="3:3" ht="15.75" customHeight="1" x14ac:dyDescent="0.2">
      <c r="C481" s="109"/>
    </row>
    <row r="482" spans="3:3" ht="15.75" customHeight="1" x14ac:dyDescent="0.2">
      <c r="C482" s="109"/>
    </row>
    <row r="483" spans="3:3" ht="15.75" customHeight="1" x14ac:dyDescent="0.2">
      <c r="C483" s="109"/>
    </row>
    <row r="484" spans="3:3" ht="15.75" customHeight="1" x14ac:dyDescent="0.2">
      <c r="C484" s="109"/>
    </row>
    <row r="485" spans="3:3" ht="15.75" customHeight="1" x14ac:dyDescent="0.2">
      <c r="C485" s="109"/>
    </row>
    <row r="486" spans="3:3" ht="15.75" customHeight="1" x14ac:dyDescent="0.2">
      <c r="C486" s="109"/>
    </row>
    <row r="487" spans="3:3" ht="15.75" customHeight="1" x14ac:dyDescent="0.2">
      <c r="C487" s="109"/>
    </row>
    <row r="488" spans="3:3" ht="15.75" customHeight="1" x14ac:dyDescent="0.2">
      <c r="C488" s="109"/>
    </row>
    <row r="489" spans="3:3" ht="15.75" customHeight="1" x14ac:dyDescent="0.2">
      <c r="C489" s="109"/>
    </row>
    <row r="490" spans="3:3" ht="15.75" customHeight="1" x14ac:dyDescent="0.2">
      <c r="C490" s="109"/>
    </row>
    <row r="491" spans="3:3" ht="15.75" customHeight="1" x14ac:dyDescent="0.2">
      <c r="C491" s="109"/>
    </row>
    <row r="492" spans="3:3" ht="15.75" customHeight="1" x14ac:dyDescent="0.2">
      <c r="C492" s="109"/>
    </row>
    <row r="493" spans="3:3" ht="15.75" customHeight="1" x14ac:dyDescent="0.2">
      <c r="C493" s="109"/>
    </row>
    <row r="494" spans="3:3" ht="15.75" customHeight="1" x14ac:dyDescent="0.2">
      <c r="C494" s="109"/>
    </row>
    <row r="495" spans="3:3" ht="15.75" customHeight="1" x14ac:dyDescent="0.2">
      <c r="C495" s="109"/>
    </row>
    <row r="496" spans="3:3" ht="15.75" customHeight="1" x14ac:dyDescent="0.2">
      <c r="C496" s="109"/>
    </row>
    <row r="497" spans="3:3" ht="15.75" customHeight="1" x14ac:dyDescent="0.2">
      <c r="C497" s="109"/>
    </row>
    <row r="498" spans="3:3" ht="15.75" customHeight="1" x14ac:dyDescent="0.2">
      <c r="C498" s="109"/>
    </row>
    <row r="499" spans="3:3" ht="15.75" customHeight="1" x14ac:dyDescent="0.2">
      <c r="C499" s="109"/>
    </row>
    <row r="500" spans="3:3" ht="15.75" customHeight="1" x14ac:dyDescent="0.2">
      <c r="C500" s="109"/>
    </row>
    <row r="501" spans="3:3" ht="15.75" customHeight="1" x14ac:dyDescent="0.2">
      <c r="C501" s="109"/>
    </row>
    <row r="502" spans="3:3" ht="15.75" customHeight="1" x14ac:dyDescent="0.2">
      <c r="C502" s="109"/>
    </row>
    <row r="503" spans="3:3" ht="15.75" customHeight="1" x14ac:dyDescent="0.2">
      <c r="C503" s="109"/>
    </row>
    <row r="504" spans="3:3" ht="15.75" customHeight="1" x14ac:dyDescent="0.2">
      <c r="C504" s="109"/>
    </row>
    <row r="505" spans="3:3" ht="15.75" customHeight="1" x14ac:dyDescent="0.2">
      <c r="C505" s="109"/>
    </row>
    <row r="506" spans="3:3" ht="15.75" customHeight="1" x14ac:dyDescent="0.2">
      <c r="C506" s="109"/>
    </row>
    <row r="507" spans="3:3" ht="15.75" customHeight="1" x14ac:dyDescent="0.2">
      <c r="C507" s="109"/>
    </row>
    <row r="508" spans="3:3" ht="15.75" customHeight="1" x14ac:dyDescent="0.2">
      <c r="C508" s="109"/>
    </row>
    <row r="509" spans="3:3" ht="15.75" customHeight="1" x14ac:dyDescent="0.2">
      <c r="C509" s="109"/>
    </row>
    <row r="510" spans="3:3" ht="15.75" customHeight="1" x14ac:dyDescent="0.2">
      <c r="C510" s="109"/>
    </row>
    <row r="511" spans="3:3" ht="15.75" customHeight="1" x14ac:dyDescent="0.2">
      <c r="C511" s="109"/>
    </row>
    <row r="512" spans="3:3" ht="15.75" customHeight="1" x14ac:dyDescent="0.2">
      <c r="C512" s="109"/>
    </row>
    <row r="513" spans="3:3" ht="15.75" customHeight="1" x14ac:dyDescent="0.2">
      <c r="C513" s="109"/>
    </row>
    <row r="514" spans="3:3" ht="15.75" customHeight="1" x14ac:dyDescent="0.2">
      <c r="C514" s="109"/>
    </row>
    <row r="515" spans="3:3" ht="15.75" customHeight="1" x14ac:dyDescent="0.2">
      <c r="C515" s="109"/>
    </row>
    <row r="516" spans="3:3" ht="15.75" customHeight="1" x14ac:dyDescent="0.2">
      <c r="C516" s="109"/>
    </row>
    <row r="517" spans="3:3" ht="15.75" customHeight="1" x14ac:dyDescent="0.2">
      <c r="C517" s="109"/>
    </row>
    <row r="518" spans="3:3" ht="15.75" customHeight="1" x14ac:dyDescent="0.2">
      <c r="C518" s="109"/>
    </row>
    <row r="519" spans="3:3" ht="15.75" customHeight="1" x14ac:dyDescent="0.2">
      <c r="C519" s="109"/>
    </row>
    <row r="520" spans="3:3" ht="15.75" customHeight="1" x14ac:dyDescent="0.2">
      <c r="C520" s="109"/>
    </row>
    <row r="521" spans="3:3" ht="15.75" customHeight="1" x14ac:dyDescent="0.2">
      <c r="C521" s="109"/>
    </row>
    <row r="522" spans="3:3" ht="15.75" customHeight="1" x14ac:dyDescent="0.2">
      <c r="C522" s="109"/>
    </row>
    <row r="523" spans="3:3" ht="15.75" customHeight="1" x14ac:dyDescent="0.2">
      <c r="C523" s="109"/>
    </row>
    <row r="524" spans="3:3" ht="15.75" customHeight="1" x14ac:dyDescent="0.2">
      <c r="C524" s="109"/>
    </row>
    <row r="525" spans="3:3" ht="15.75" customHeight="1" x14ac:dyDescent="0.2">
      <c r="C525" s="109"/>
    </row>
    <row r="526" spans="3:3" ht="15.75" customHeight="1" x14ac:dyDescent="0.2">
      <c r="C526" s="109"/>
    </row>
    <row r="527" spans="3:3" ht="15.75" customHeight="1" x14ac:dyDescent="0.2">
      <c r="C527" s="109"/>
    </row>
    <row r="528" spans="3:3" ht="15.75" customHeight="1" x14ac:dyDescent="0.2">
      <c r="C528" s="109"/>
    </row>
    <row r="529" spans="3:3" ht="15.75" customHeight="1" x14ac:dyDescent="0.2">
      <c r="C529" s="109"/>
    </row>
    <row r="530" spans="3:3" ht="15.75" customHeight="1" x14ac:dyDescent="0.2">
      <c r="C530" s="109"/>
    </row>
    <row r="531" spans="3:3" ht="15.75" customHeight="1" x14ac:dyDescent="0.2">
      <c r="C531" s="109"/>
    </row>
    <row r="532" spans="3:3" ht="15.75" customHeight="1" x14ac:dyDescent="0.2">
      <c r="C532" s="109"/>
    </row>
    <row r="533" spans="3:3" ht="15.75" customHeight="1" x14ac:dyDescent="0.2">
      <c r="C533" s="109"/>
    </row>
    <row r="534" spans="3:3" ht="15.75" customHeight="1" x14ac:dyDescent="0.2">
      <c r="C534" s="109"/>
    </row>
    <row r="535" spans="3:3" ht="15.75" customHeight="1" x14ac:dyDescent="0.2">
      <c r="C535" s="109"/>
    </row>
    <row r="536" spans="3:3" ht="15.75" customHeight="1" x14ac:dyDescent="0.2">
      <c r="C536" s="109"/>
    </row>
    <row r="537" spans="3:3" ht="15.75" customHeight="1" x14ac:dyDescent="0.2">
      <c r="C537" s="109"/>
    </row>
    <row r="538" spans="3:3" ht="15.75" customHeight="1" x14ac:dyDescent="0.2">
      <c r="C538" s="109"/>
    </row>
    <row r="539" spans="3:3" ht="15.75" customHeight="1" x14ac:dyDescent="0.2">
      <c r="C539" s="109"/>
    </row>
    <row r="540" spans="3:3" ht="15.75" customHeight="1" x14ac:dyDescent="0.2">
      <c r="C540" s="109"/>
    </row>
    <row r="541" spans="3:3" ht="15.75" customHeight="1" x14ac:dyDescent="0.2">
      <c r="C541" s="109"/>
    </row>
    <row r="542" spans="3:3" ht="15.75" customHeight="1" x14ac:dyDescent="0.2">
      <c r="C542" s="109"/>
    </row>
    <row r="543" spans="3:3" ht="15.75" customHeight="1" x14ac:dyDescent="0.2">
      <c r="C543" s="109"/>
    </row>
    <row r="544" spans="3:3" ht="15.75" customHeight="1" x14ac:dyDescent="0.2">
      <c r="C544" s="109"/>
    </row>
    <row r="545" spans="3:3" ht="15.75" customHeight="1" x14ac:dyDescent="0.2">
      <c r="C545" s="109"/>
    </row>
    <row r="546" spans="3:3" ht="15.75" customHeight="1" x14ac:dyDescent="0.2">
      <c r="C546" s="109"/>
    </row>
    <row r="547" spans="3:3" ht="15.75" customHeight="1" x14ac:dyDescent="0.2">
      <c r="C547" s="109"/>
    </row>
    <row r="548" spans="3:3" ht="15.75" customHeight="1" x14ac:dyDescent="0.2">
      <c r="C548" s="109"/>
    </row>
    <row r="549" spans="3:3" ht="15.75" customHeight="1" x14ac:dyDescent="0.2">
      <c r="C549" s="109"/>
    </row>
    <row r="550" spans="3:3" ht="15.75" customHeight="1" x14ac:dyDescent="0.2">
      <c r="C550" s="109"/>
    </row>
    <row r="551" spans="3:3" ht="15.75" customHeight="1" x14ac:dyDescent="0.2">
      <c r="C551" s="109"/>
    </row>
    <row r="552" spans="3:3" ht="15.75" customHeight="1" x14ac:dyDescent="0.2">
      <c r="C552" s="109"/>
    </row>
    <row r="553" spans="3:3" ht="15.75" customHeight="1" x14ac:dyDescent="0.2">
      <c r="C553" s="109"/>
    </row>
    <row r="554" spans="3:3" ht="15.75" customHeight="1" x14ac:dyDescent="0.2">
      <c r="C554" s="109"/>
    </row>
    <row r="555" spans="3:3" ht="15.75" customHeight="1" x14ac:dyDescent="0.2">
      <c r="C555" s="109"/>
    </row>
    <row r="556" spans="3:3" ht="15.75" customHeight="1" x14ac:dyDescent="0.2">
      <c r="C556" s="109"/>
    </row>
    <row r="557" spans="3:3" ht="15.75" customHeight="1" x14ac:dyDescent="0.2">
      <c r="C557" s="109"/>
    </row>
    <row r="558" spans="3:3" ht="15.75" customHeight="1" x14ac:dyDescent="0.2">
      <c r="C558" s="109"/>
    </row>
    <row r="559" spans="3:3" ht="15.75" customHeight="1" x14ac:dyDescent="0.2">
      <c r="C559" s="109"/>
    </row>
    <row r="560" spans="3:3" ht="15.75" customHeight="1" x14ac:dyDescent="0.2">
      <c r="C560" s="109"/>
    </row>
    <row r="561" spans="3:3" ht="15.75" customHeight="1" x14ac:dyDescent="0.2">
      <c r="C561" s="109"/>
    </row>
    <row r="562" spans="3:3" ht="15.75" customHeight="1" x14ac:dyDescent="0.2">
      <c r="C562" s="109"/>
    </row>
    <row r="563" spans="3:3" ht="15.75" customHeight="1" x14ac:dyDescent="0.2">
      <c r="C563" s="109"/>
    </row>
    <row r="564" spans="3:3" ht="15.75" customHeight="1" x14ac:dyDescent="0.2">
      <c r="C564" s="109"/>
    </row>
    <row r="565" spans="3:3" ht="15.75" customHeight="1" x14ac:dyDescent="0.2">
      <c r="C565" s="109"/>
    </row>
    <row r="566" spans="3:3" ht="15.75" customHeight="1" x14ac:dyDescent="0.2">
      <c r="C566" s="109"/>
    </row>
    <row r="567" spans="3:3" ht="15.75" customHeight="1" x14ac:dyDescent="0.2">
      <c r="C567" s="109"/>
    </row>
    <row r="568" spans="3:3" ht="15.75" customHeight="1" x14ac:dyDescent="0.2">
      <c r="C568" s="109"/>
    </row>
    <row r="569" spans="3:3" ht="15.75" customHeight="1" x14ac:dyDescent="0.2">
      <c r="C569" s="109"/>
    </row>
    <row r="570" spans="3:3" ht="15.75" customHeight="1" x14ac:dyDescent="0.2">
      <c r="C570" s="109"/>
    </row>
    <row r="571" spans="3:3" ht="15.75" customHeight="1" x14ac:dyDescent="0.2">
      <c r="C571" s="109"/>
    </row>
    <row r="572" spans="3:3" ht="15.75" customHeight="1" x14ac:dyDescent="0.2">
      <c r="C572" s="109"/>
    </row>
    <row r="573" spans="3:3" ht="15.75" customHeight="1" x14ac:dyDescent="0.2">
      <c r="C573" s="109"/>
    </row>
    <row r="574" spans="3:3" ht="15.75" customHeight="1" x14ac:dyDescent="0.2">
      <c r="C574" s="109"/>
    </row>
    <row r="575" spans="3:3" ht="15.75" customHeight="1" x14ac:dyDescent="0.2">
      <c r="C575" s="109"/>
    </row>
    <row r="576" spans="3:3" ht="15.75" customHeight="1" x14ac:dyDescent="0.2">
      <c r="C576" s="109"/>
    </row>
    <row r="577" spans="3:3" ht="15.75" customHeight="1" x14ac:dyDescent="0.2">
      <c r="C577" s="109"/>
    </row>
    <row r="578" spans="3:3" ht="15.75" customHeight="1" x14ac:dyDescent="0.2">
      <c r="C578" s="109"/>
    </row>
    <row r="579" spans="3:3" ht="15.75" customHeight="1" x14ac:dyDescent="0.2">
      <c r="C579" s="109"/>
    </row>
    <row r="580" spans="3:3" ht="15.75" customHeight="1" x14ac:dyDescent="0.2">
      <c r="C580" s="109"/>
    </row>
    <row r="581" spans="3:3" ht="15.75" customHeight="1" x14ac:dyDescent="0.2">
      <c r="C581" s="109"/>
    </row>
    <row r="582" spans="3:3" ht="15.75" customHeight="1" x14ac:dyDescent="0.2">
      <c r="C582" s="109"/>
    </row>
    <row r="583" spans="3:3" ht="15.75" customHeight="1" x14ac:dyDescent="0.2">
      <c r="C583" s="109"/>
    </row>
    <row r="584" spans="3:3" ht="15.75" customHeight="1" x14ac:dyDescent="0.2">
      <c r="C584" s="109"/>
    </row>
    <row r="585" spans="3:3" ht="15.75" customHeight="1" x14ac:dyDescent="0.2">
      <c r="C585" s="109"/>
    </row>
    <row r="586" spans="3:3" ht="15.75" customHeight="1" x14ac:dyDescent="0.2">
      <c r="C586" s="109"/>
    </row>
    <row r="587" spans="3:3" ht="15.75" customHeight="1" x14ac:dyDescent="0.2">
      <c r="C587" s="109"/>
    </row>
    <row r="588" spans="3:3" ht="15.75" customHeight="1" x14ac:dyDescent="0.2">
      <c r="C588" s="109"/>
    </row>
    <row r="589" spans="3:3" ht="15.75" customHeight="1" x14ac:dyDescent="0.2">
      <c r="C589" s="109"/>
    </row>
    <row r="590" spans="3:3" ht="15.75" customHeight="1" x14ac:dyDescent="0.2">
      <c r="C590" s="109"/>
    </row>
    <row r="591" spans="3:3" ht="15.75" customHeight="1" x14ac:dyDescent="0.2">
      <c r="C591" s="109"/>
    </row>
    <row r="592" spans="3:3" ht="15.75" customHeight="1" x14ac:dyDescent="0.2">
      <c r="C592" s="109"/>
    </row>
    <row r="593" spans="3:3" ht="15.75" customHeight="1" x14ac:dyDescent="0.2">
      <c r="C593" s="109"/>
    </row>
    <row r="594" spans="3:3" ht="15.75" customHeight="1" x14ac:dyDescent="0.2">
      <c r="C594" s="109"/>
    </row>
    <row r="595" spans="3:3" ht="15.75" customHeight="1" x14ac:dyDescent="0.2">
      <c r="C595" s="109"/>
    </row>
    <row r="596" spans="3:3" ht="15.75" customHeight="1" x14ac:dyDescent="0.2">
      <c r="C596" s="109"/>
    </row>
    <row r="597" spans="3:3" ht="15.75" customHeight="1" x14ac:dyDescent="0.2">
      <c r="C597" s="109"/>
    </row>
    <row r="598" spans="3:3" ht="15.75" customHeight="1" x14ac:dyDescent="0.2">
      <c r="C598" s="109"/>
    </row>
    <row r="599" spans="3:3" ht="15.75" customHeight="1" x14ac:dyDescent="0.2">
      <c r="C599" s="109"/>
    </row>
    <row r="600" spans="3:3" ht="15.75" customHeight="1" x14ac:dyDescent="0.2">
      <c r="C600" s="109"/>
    </row>
    <row r="601" spans="3:3" ht="15.75" customHeight="1" x14ac:dyDescent="0.2">
      <c r="C601" s="109"/>
    </row>
    <row r="602" spans="3:3" ht="15.75" customHeight="1" x14ac:dyDescent="0.2">
      <c r="C602" s="109"/>
    </row>
    <row r="603" spans="3:3" ht="15.75" customHeight="1" x14ac:dyDescent="0.2">
      <c r="C603" s="109"/>
    </row>
    <row r="604" spans="3:3" ht="15.75" customHeight="1" x14ac:dyDescent="0.2">
      <c r="C604" s="109"/>
    </row>
    <row r="605" spans="3:3" ht="15.75" customHeight="1" x14ac:dyDescent="0.2">
      <c r="C605" s="109"/>
    </row>
    <row r="606" spans="3:3" ht="15.75" customHeight="1" x14ac:dyDescent="0.2">
      <c r="C606" s="109"/>
    </row>
    <row r="607" spans="3:3" ht="15.75" customHeight="1" x14ac:dyDescent="0.2">
      <c r="C607" s="109"/>
    </row>
    <row r="608" spans="3:3" ht="15.75" customHeight="1" x14ac:dyDescent="0.2">
      <c r="C608" s="109"/>
    </row>
    <row r="609" spans="3:3" ht="15.75" customHeight="1" x14ac:dyDescent="0.2">
      <c r="C609" s="109"/>
    </row>
    <row r="610" spans="3:3" ht="15.75" customHeight="1" x14ac:dyDescent="0.2">
      <c r="C610" s="109"/>
    </row>
    <row r="611" spans="3:3" ht="15.75" customHeight="1" x14ac:dyDescent="0.2">
      <c r="C611" s="109"/>
    </row>
    <row r="612" spans="3:3" ht="15.75" customHeight="1" x14ac:dyDescent="0.2">
      <c r="C612" s="109"/>
    </row>
    <row r="613" spans="3:3" ht="15.75" customHeight="1" x14ac:dyDescent="0.2">
      <c r="C613" s="109"/>
    </row>
    <row r="614" spans="3:3" ht="15.75" customHeight="1" x14ac:dyDescent="0.2">
      <c r="C614" s="109"/>
    </row>
    <row r="615" spans="3:3" ht="15.75" customHeight="1" x14ac:dyDescent="0.2">
      <c r="C615" s="109"/>
    </row>
    <row r="616" spans="3:3" ht="15.75" customHeight="1" x14ac:dyDescent="0.2">
      <c r="C616" s="109"/>
    </row>
    <row r="617" spans="3:3" ht="15.75" customHeight="1" x14ac:dyDescent="0.2">
      <c r="C617" s="109"/>
    </row>
    <row r="618" spans="3:3" ht="15.75" customHeight="1" x14ac:dyDescent="0.2">
      <c r="C618" s="109"/>
    </row>
    <row r="619" spans="3:3" ht="15.75" customHeight="1" x14ac:dyDescent="0.2">
      <c r="C619" s="109"/>
    </row>
    <row r="620" spans="3:3" ht="15.75" customHeight="1" x14ac:dyDescent="0.2">
      <c r="C620" s="109"/>
    </row>
    <row r="621" spans="3:3" ht="15.75" customHeight="1" x14ac:dyDescent="0.2">
      <c r="C621" s="109"/>
    </row>
    <row r="622" spans="3:3" ht="15.75" customHeight="1" x14ac:dyDescent="0.2">
      <c r="C622" s="109"/>
    </row>
    <row r="623" spans="3:3" ht="15.75" customHeight="1" x14ac:dyDescent="0.2">
      <c r="C623" s="109"/>
    </row>
    <row r="624" spans="3:3" ht="15.75" customHeight="1" x14ac:dyDescent="0.2">
      <c r="C624" s="109"/>
    </row>
    <row r="625" spans="3:3" ht="15.75" customHeight="1" x14ac:dyDescent="0.2">
      <c r="C625" s="109"/>
    </row>
    <row r="626" spans="3:3" ht="15.75" customHeight="1" x14ac:dyDescent="0.2">
      <c r="C626" s="109"/>
    </row>
    <row r="627" spans="3:3" ht="15.75" customHeight="1" x14ac:dyDescent="0.2">
      <c r="C627" s="109"/>
    </row>
    <row r="628" spans="3:3" ht="15.75" customHeight="1" x14ac:dyDescent="0.2">
      <c r="C628" s="109"/>
    </row>
    <row r="629" spans="3:3" ht="15.75" customHeight="1" x14ac:dyDescent="0.2">
      <c r="C629" s="109"/>
    </row>
    <row r="630" spans="3:3" ht="15.75" customHeight="1" x14ac:dyDescent="0.2">
      <c r="C630" s="109"/>
    </row>
    <row r="631" spans="3:3" ht="15.75" customHeight="1" x14ac:dyDescent="0.2">
      <c r="C631" s="109"/>
    </row>
    <row r="632" spans="3:3" ht="15.75" customHeight="1" x14ac:dyDescent="0.2">
      <c r="C632" s="109"/>
    </row>
    <row r="633" spans="3:3" ht="15.75" customHeight="1" x14ac:dyDescent="0.2">
      <c r="C633" s="109"/>
    </row>
    <row r="634" spans="3:3" ht="15.75" customHeight="1" x14ac:dyDescent="0.2">
      <c r="C634" s="109"/>
    </row>
    <row r="635" spans="3:3" ht="15.75" customHeight="1" x14ac:dyDescent="0.2">
      <c r="C635" s="109"/>
    </row>
    <row r="636" spans="3:3" ht="15.75" customHeight="1" x14ac:dyDescent="0.2">
      <c r="C636" s="109"/>
    </row>
    <row r="637" spans="3:3" ht="15.75" customHeight="1" x14ac:dyDescent="0.2">
      <c r="C637" s="109"/>
    </row>
    <row r="638" spans="3:3" ht="15.75" customHeight="1" x14ac:dyDescent="0.2">
      <c r="C638" s="109"/>
    </row>
    <row r="639" spans="3:3" ht="15.75" customHeight="1" x14ac:dyDescent="0.2">
      <c r="C639" s="109"/>
    </row>
    <row r="640" spans="3:3" ht="15.75" customHeight="1" x14ac:dyDescent="0.2">
      <c r="C640" s="109"/>
    </row>
    <row r="641" spans="3:3" ht="15.75" customHeight="1" x14ac:dyDescent="0.2">
      <c r="C641" s="109"/>
    </row>
    <row r="642" spans="3:3" ht="15.75" customHeight="1" x14ac:dyDescent="0.2">
      <c r="C642" s="109"/>
    </row>
    <row r="643" spans="3:3" ht="15.75" customHeight="1" x14ac:dyDescent="0.2">
      <c r="C643" s="109"/>
    </row>
    <row r="644" spans="3:3" ht="15.75" customHeight="1" x14ac:dyDescent="0.2">
      <c r="C644" s="109"/>
    </row>
    <row r="645" spans="3:3" ht="15.75" customHeight="1" x14ac:dyDescent="0.2">
      <c r="C645" s="109"/>
    </row>
    <row r="646" spans="3:3" ht="15.75" customHeight="1" x14ac:dyDescent="0.2">
      <c r="C646" s="109"/>
    </row>
    <row r="647" spans="3:3" ht="15.75" customHeight="1" x14ac:dyDescent="0.2">
      <c r="C647" s="109"/>
    </row>
    <row r="648" spans="3:3" ht="15.75" customHeight="1" x14ac:dyDescent="0.2">
      <c r="C648" s="109"/>
    </row>
    <row r="649" spans="3:3" ht="15.75" customHeight="1" x14ac:dyDescent="0.2">
      <c r="C649" s="109"/>
    </row>
    <row r="650" spans="3:3" ht="15.75" customHeight="1" x14ac:dyDescent="0.2">
      <c r="C650" s="109"/>
    </row>
    <row r="651" spans="3:3" ht="15.75" customHeight="1" x14ac:dyDescent="0.2">
      <c r="C651" s="109"/>
    </row>
    <row r="652" spans="3:3" ht="15.75" customHeight="1" x14ac:dyDescent="0.2">
      <c r="C652" s="109"/>
    </row>
    <row r="653" spans="3:3" ht="15.75" customHeight="1" x14ac:dyDescent="0.2">
      <c r="C653" s="109"/>
    </row>
    <row r="654" spans="3:3" ht="15.75" customHeight="1" x14ac:dyDescent="0.2">
      <c r="C654" s="109"/>
    </row>
    <row r="655" spans="3:3" ht="15.75" customHeight="1" x14ac:dyDescent="0.2">
      <c r="C655" s="109"/>
    </row>
    <row r="656" spans="3:3" ht="15.75" customHeight="1" x14ac:dyDescent="0.2">
      <c r="C656" s="109"/>
    </row>
    <row r="657" spans="3:3" ht="15.75" customHeight="1" x14ac:dyDescent="0.2">
      <c r="C657" s="109"/>
    </row>
    <row r="658" spans="3:3" ht="15.75" customHeight="1" x14ac:dyDescent="0.2">
      <c r="C658" s="109"/>
    </row>
    <row r="659" spans="3:3" ht="15.75" customHeight="1" x14ac:dyDescent="0.2">
      <c r="C659" s="109"/>
    </row>
    <row r="660" spans="3:3" ht="15.75" customHeight="1" x14ac:dyDescent="0.2">
      <c r="C660" s="109"/>
    </row>
    <row r="661" spans="3:3" ht="15.75" customHeight="1" x14ac:dyDescent="0.2">
      <c r="C661" s="109"/>
    </row>
    <row r="662" spans="3:3" ht="15.75" customHeight="1" x14ac:dyDescent="0.2">
      <c r="C662" s="109"/>
    </row>
    <row r="663" spans="3:3" ht="15.75" customHeight="1" x14ac:dyDescent="0.2">
      <c r="C663" s="109"/>
    </row>
    <row r="664" spans="3:3" ht="15.75" customHeight="1" x14ac:dyDescent="0.2">
      <c r="C664" s="109"/>
    </row>
    <row r="665" spans="3:3" ht="15.75" customHeight="1" x14ac:dyDescent="0.2">
      <c r="C665" s="109"/>
    </row>
    <row r="666" spans="3:3" ht="15.75" customHeight="1" x14ac:dyDescent="0.2">
      <c r="C666" s="109"/>
    </row>
    <row r="667" spans="3:3" ht="15.75" customHeight="1" x14ac:dyDescent="0.2">
      <c r="C667" s="109"/>
    </row>
    <row r="668" spans="3:3" ht="15.75" customHeight="1" x14ac:dyDescent="0.2">
      <c r="C668" s="109"/>
    </row>
    <row r="669" spans="3:3" ht="15.75" customHeight="1" x14ac:dyDescent="0.2">
      <c r="C669" s="109"/>
    </row>
    <row r="670" spans="3:3" ht="15.75" customHeight="1" x14ac:dyDescent="0.2">
      <c r="C670" s="109"/>
    </row>
    <row r="671" spans="3:3" ht="15.75" customHeight="1" x14ac:dyDescent="0.2">
      <c r="C671" s="109"/>
    </row>
    <row r="672" spans="3:3" ht="15.75" customHeight="1" x14ac:dyDescent="0.2">
      <c r="C672" s="109"/>
    </row>
    <row r="673" spans="3:3" ht="15.75" customHeight="1" x14ac:dyDescent="0.2">
      <c r="C673" s="109"/>
    </row>
    <row r="674" spans="3:3" ht="15.75" customHeight="1" x14ac:dyDescent="0.2">
      <c r="C674" s="109"/>
    </row>
    <row r="675" spans="3:3" ht="15.75" customHeight="1" x14ac:dyDescent="0.2">
      <c r="C675" s="109"/>
    </row>
    <row r="676" spans="3:3" ht="15.75" customHeight="1" x14ac:dyDescent="0.2">
      <c r="C676" s="109"/>
    </row>
    <row r="677" spans="3:3" ht="15.75" customHeight="1" x14ac:dyDescent="0.2">
      <c r="C677" s="109"/>
    </row>
    <row r="678" spans="3:3" ht="15.75" customHeight="1" x14ac:dyDescent="0.2">
      <c r="C678" s="109"/>
    </row>
    <row r="679" spans="3:3" ht="15.75" customHeight="1" x14ac:dyDescent="0.2">
      <c r="C679" s="109"/>
    </row>
    <row r="680" spans="3:3" ht="15.75" customHeight="1" x14ac:dyDescent="0.2">
      <c r="C680" s="109"/>
    </row>
    <row r="681" spans="3:3" ht="15.75" customHeight="1" x14ac:dyDescent="0.2">
      <c r="C681" s="109"/>
    </row>
    <row r="682" spans="3:3" ht="15.75" customHeight="1" x14ac:dyDescent="0.2">
      <c r="C682" s="109"/>
    </row>
    <row r="683" spans="3:3" ht="15.75" customHeight="1" x14ac:dyDescent="0.2">
      <c r="C683" s="109"/>
    </row>
    <row r="684" spans="3:3" ht="15.75" customHeight="1" x14ac:dyDescent="0.2">
      <c r="C684" s="109"/>
    </row>
    <row r="685" spans="3:3" ht="15.75" customHeight="1" x14ac:dyDescent="0.2">
      <c r="C685" s="109"/>
    </row>
    <row r="686" spans="3:3" ht="15.75" customHeight="1" x14ac:dyDescent="0.2">
      <c r="C686" s="109"/>
    </row>
    <row r="687" spans="3:3" ht="15.75" customHeight="1" x14ac:dyDescent="0.2">
      <c r="C687" s="109"/>
    </row>
    <row r="688" spans="3:3" ht="15.75" customHeight="1" x14ac:dyDescent="0.2">
      <c r="C688" s="109"/>
    </row>
    <row r="689" spans="3:3" ht="15.75" customHeight="1" x14ac:dyDescent="0.2">
      <c r="C689" s="109"/>
    </row>
    <row r="690" spans="3:3" ht="15.75" customHeight="1" x14ac:dyDescent="0.2">
      <c r="C690" s="109"/>
    </row>
    <row r="691" spans="3:3" ht="15.75" customHeight="1" x14ac:dyDescent="0.2">
      <c r="C691" s="109"/>
    </row>
    <row r="692" spans="3:3" ht="15.75" customHeight="1" x14ac:dyDescent="0.2">
      <c r="C692" s="109"/>
    </row>
    <row r="693" spans="3:3" ht="15.75" customHeight="1" x14ac:dyDescent="0.2">
      <c r="C693" s="109"/>
    </row>
    <row r="694" spans="3:3" ht="15.75" customHeight="1" x14ac:dyDescent="0.2">
      <c r="C694" s="109"/>
    </row>
    <row r="695" spans="3:3" ht="15.75" customHeight="1" x14ac:dyDescent="0.2">
      <c r="C695" s="109"/>
    </row>
    <row r="696" spans="3:3" ht="15.75" customHeight="1" x14ac:dyDescent="0.2">
      <c r="C696" s="109"/>
    </row>
    <row r="697" spans="3:3" ht="15.75" customHeight="1" x14ac:dyDescent="0.2">
      <c r="C697" s="109"/>
    </row>
    <row r="698" spans="3:3" ht="15.75" customHeight="1" x14ac:dyDescent="0.2">
      <c r="C698" s="109"/>
    </row>
    <row r="699" spans="3:3" ht="15.75" customHeight="1" x14ac:dyDescent="0.2">
      <c r="C699" s="109"/>
    </row>
    <row r="700" spans="3:3" ht="15.75" customHeight="1" x14ac:dyDescent="0.2">
      <c r="C700" s="109"/>
    </row>
    <row r="701" spans="3:3" ht="15.75" customHeight="1" x14ac:dyDescent="0.2">
      <c r="C701" s="109"/>
    </row>
    <row r="702" spans="3:3" ht="15.75" customHeight="1" x14ac:dyDescent="0.2">
      <c r="C702" s="109"/>
    </row>
    <row r="703" spans="3:3" ht="15.75" customHeight="1" x14ac:dyDescent="0.2">
      <c r="C703" s="109"/>
    </row>
    <row r="704" spans="3:3" ht="15.75" customHeight="1" x14ac:dyDescent="0.2">
      <c r="C704" s="109"/>
    </row>
    <row r="705" spans="3:3" ht="15.75" customHeight="1" x14ac:dyDescent="0.2">
      <c r="C705" s="109"/>
    </row>
    <row r="706" spans="3:3" ht="15.75" customHeight="1" x14ac:dyDescent="0.2">
      <c r="C706" s="109"/>
    </row>
    <row r="707" spans="3:3" ht="15.75" customHeight="1" x14ac:dyDescent="0.2">
      <c r="C707" s="109"/>
    </row>
    <row r="708" spans="3:3" ht="15.75" customHeight="1" x14ac:dyDescent="0.2">
      <c r="C708" s="109"/>
    </row>
    <row r="709" spans="3:3" ht="15.75" customHeight="1" x14ac:dyDescent="0.2">
      <c r="C709" s="109"/>
    </row>
    <row r="710" spans="3:3" ht="15.75" customHeight="1" x14ac:dyDescent="0.2">
      <c r="C710" s="109"/>
    </row>
    <row r="711" spans="3:3" ht="15.75" customHeight="1" x14ac:dyDescent="0.2">
      <c r="C711" s="109"/>
    </row>
    <row r="712" spans="3:3" ht="15.75" customHeight="1" x14ac:dyDescent="0.2">
      <c r="C712" s="109"/>
    </row>
    <row r="713" spans="3:3" ht="15.75" customHeight="1" x14ac:dyDescent="0.2">
      <c r="C713" s="109"/>
    </row>
    <row r="714" spans="3:3" ht="15.75" customHeight="1" x14ac:dyDescent="0.2">
      <c r="C714" s="109"/>
    </row>
    <row r="715" spans="3:3" ht="15.75" customHeight="1" x14ac:dyDescent="0.2">
      <c r="C715" s="109"/>
    </row>
    <row r="716" spans="3:3" ht="15.75" customHeight="1" x14ac:dyDescent="0.2">
      <c r="C716" s="109"/>
    </row>
    <row r="717" spans="3:3" ht="15.75" customHeight="1" x14ac:dyDescent="0.2">
      <c r="C717" s="109"/>
    </row>
    <row r="718" spans="3:3" ht="15.75" customHeight="1" x14ac:dyDescent="0.2">
      <c r="C718" s="109"/>
    </row>
    <row r="719" spans="3:3" ht="15.75" customHeight="1" x14ac:dyDescent="0.2">
      <c r="C719" s="109"/>
    </row>
    <row r="720" spans="3:3" ht="15.75" customHeight="1" x14ac:dyDescent="0.2">
      <c r="C720" s="109"/>
    </row>
    <row r="721" spans="3:3" ht="15.75" customHeight="1" x14ac:dyDescent="0.2">
      <c r="C721" s="109"/>
    </row>
    <row r="722" spans="3:3" ht="15.75" customHeight="1" x14ac:dyDescent="0.2">
      <c r="C722" s="109"/>
    </row>
    <row r="723" spans="3:3" ht="15.75" customHeight="1" x14ac:dyDescent="0.2">
      <c r="C723" s="109"/>
    </row>
    <row r="724" spans="3:3" ht="15.75" customHeight="1" x14ac:dyDescent="0.2">
      <c r="C724" s="109"/>
    </row>
    <row r="725" spans="3:3" ht="15.75" customHeight="1" x14ac:dyDescent="0.2">
      <c r="C725" s="109"/>
    </row>
    <row r="726" spans="3:3" ht="15.75" customHeight="1" x14ac:dyDescent="0.2">
      <c r="C726" s="109"/>
    </row>
    <row r="727" spans="3:3" ht="15.75" customHeight="1" x14ac:dyDescent="0.2">
      <c r="C727" s="109"/>
    </row>
    <row r="728" spans="3:3" ht="15.75" customHeight="1" x14ac:dyDescent="0.2">
      <c r="C728" s="109"/>
    </row>
    <row r="729" spans="3:3" ht="15.75" customHeight="1" x14ac:dyDescent="0.2">
      <c r="C729" s="109"/>
    </row>
    <row r="730" spans="3:3" ht="15.75" customHeight="1" x14ac:dyDescent="0.2">
      <c r="C730" s="109"/>
    </row>
    <row r="731" spans="3:3" ht="15.75" customHeight="1" x14ac:dyDescent="0.2">
      <c r="C731" s="109"/>
    </row>
    <row r="732" spans="3:3" ht="15.75" customHeight="1" x14ac:dyDescent="0.2">
      <c r="C732" s="109"/>
    </row>
    <row r="733" spans="3:3" ht="15.75" customHeight="1" x14ac:dyDescent="0.2">
      <c r="C733" s="109"/>
    </row>
    <row r="734" spans="3:3" ht="15.75" customHeight="1" x14ac:dyDescent="0.2">
      <c r="C734" s="109"/>
    </row>
    <row r="735" spans="3:3" ht="15.75" customHeight="1" x14ac:dyDescent="0.2">
      <c r="C735" s="109"/>
    </row>
    <row r="736" spans="3:3" ht="15.75" customHeight="1" x14ac:dyDescent="0.2">
      <c r="C736" s="109"/>
    </row>
    <row r="737" spans="3:3" ht="15.75" customHeight="1" x14ac:dyDescent="0.2">
      <c r="C737" s="109"/>
    </row>
    <row r="738" spans="3:3" ht="15.75" customHeight="1" x14ac:dyDescent="0.2">
      <c r="C738" s="109"/>
    </row>
    <row r="739" spans="3:3" ht="15.75" customHeight="1" x14ac:dyDescent="0.2">
      <c r="C739" s="109"/>
    </row>
    <row r="740" spans="3:3" ht="15.75" customHeight="1" x14ac:dyDescent="0.2">
      <c r="C740" s="109"/>
    </row>
    <row r="741" spans="3:3" ht="15.75" customHeight="1" x14ac:dyDescent="0.2">
      <c r="C741" s="109"/>
    </row>
    <row r="742" spans="3:3" ht="15.75" customHeight="1" x14ac:dyDescent="0.2">
      <c r="C742" s="109"/>
    </row>
    <row r="743" spans="3:3" ht="15.75" customHeight="1" x14ac:dyDescent="0.2">
      <c r="C743" s="109"/>
    </row>
    <row r="744" spans="3:3" ht="15.75" customHeight="1" x14ac:dyDescent="0.2">
      <c r="C744" s="109"/>
    </row>
    <row r="745" spans="3:3" ht="15.75" customHeight="1" x14ac:dyDescent="0.2">
      <c r="C745" s="109"/>
    </row>
    <row r="746" spans="3:3" ht="15.75" customHeight="1" x14ac:dyDescent="0.2">
      <c r="C746" s="109"/>
    </row>
    <row r="747" spans="3:3" ht="15.75" customHeight="1" x14ac:dyDescent="0.2">
      <c r="C747" s="109"/>
    </row>
    <row r="748" spans="3:3" ht="15.75" customHeight="1" x14ac:dyDescent="0.2">
      <c r="C748" s="109"/>
    </row>
    <row r="749" spans="3:3" ht="15.75" customHeight="1" x14ac:dyDescent="0.2">
      <c r="C749" s="109"/>
    </row>
    <row r="750" spans="3:3" ht="15.75" customHeight="1" x14ac:dyDescent="0.2">
      <c r="C750" s="109"/>
    </row>
    <row r="751" spans="3:3" ht="15.75" customHeight="1" x14ac:dyDescent="0.2">
      <c r="C751" s="109"/>
    </row>
    <row r="752" spans="3:3" ht="15.75" customHeight="1" x14ac:dyDescent="0.2">
      <c r="C752" s="109"/>
    </row>
    <row r="753" spans="3:3" ht="15.75" customHeight="1" x14ac:dyDescent="0.2">
      <c r="C753" s="109"/>
    </row>
    <row r="754" spans="3:3" ht="15.75" customHeight="1" x14ac:dyDescent="0.2">
      <c r="C754" s="109"/>
    </row>
    <row r="755" spans="3:3" ht="15.75" customHeight="1" x14ac:dyDescent="0.2">
      <c r="C755" s="109"/>
    </row>
    <row r="756" spans="3:3" ht="15.75" customHeight="1" x14ac:dyDescent="0.2">
      <c r="C756" s="109"/>
    </row>
    <row r="757" spans="3:3" ht="15.75" customHeight="1" x14ac:dyDescent="0.2">
      <c r="C757" s="109"/>
    </row>
    <row r="758" spans="3:3" ht="15.75" customHeight="1" x14ac:dyDescent="0.2">
      <c r="C758" s="109"/>
    </row>
    <row r="759" spans="3:3" ht="15.75" customHeight="1" x14ac:dyDescent="0.2">
      <c r="C759" s="109"/>
    </row>
    <row r="760" spans="3:3" ht="15.75" customHeight="1" x14ac:dyDescent="0.2">
      <c r="C760" s="109"/>
    </row>
    <row r="761" spans="3:3" ht="15.75" customHeight="1" x14ac:dyDescent="0.2">
      <c r="C761" s="109"/>
    </row>
    <row r="762" spans="3:3" ht="15.75" customHeight="1" x14ac:dyDescent="0.2">
      <c r="C762" s="109"/>
    </row>
    <row r="763" spans="3:3" ht="15.75" customHeight="1" x14ac:dyDescent="0.2">
      <c r="C763" s="109"/>
    </row>
    <row r="764" spans="3:3" ht="15.75" customHeight="1" x14ac:dyDescent="0.2">
      <c r="C764" s="109"/>
    </row>
    <row r="765" spans="3:3" ht="15.75" customHeight="1" x14ac:dyDescent="0.2">
      <c r="C765" s="109"/>
    </row>
    <row r="766" spans="3:3" ht="15.75" customHeight="1" x14ac:dyDescent="0.2">
      <c r="C766" s="109"/>
    </row>
    <row r="767" spans="3:3" ht="15.75" customHeight="1" x14ac:dyDescent="0.2">
      <c r="C767" s="109"/>
    </row>
    <row r="768" spans="3:3" ht="15.75" customHeight="1" x14ac:dyDescent="0.2">
      <c r="C768" s="109"/>
    </row>
    <row r="769" spans="3:3" ht="15.75" customHeight="1" x14ac:dyDescent="0.2">
      <c r="C769" s="109"/>
    </row>
    <row r="770" spans="3:3" ht="15.75" customHeight="1" x14ac:dyDescent="0.2">
      <c r="C770" s="109"/>
    </row>
    <row r="771" spans="3:3" ht="15.75" customHeight="1" x14ac:dyDescent="0.2">
      <c r="C771" s="109"/>
    </row>
    <row r="772" spans="3:3" ht="15.75" customHeight="1" x14ac:dyDescent="0.2">
      <c r="C772" s="109"/>
    </row>
    <row r="773" spans="3:3" ht="15.75" customHeight="1" x14ac:dyDescent="0.2">
      <c r="C773" s="109"/>
    </row>
    <row r="774" spans="3:3" ht="15.75" customHeight="1" x14ac:dyDescent="0.2">
      <c r="C774" s="109"/>
    </row>
    <row r="775" spans="3:3" ht="15.75" customHeight="1" x14ac:dyDescent="0.2">
      <c r="C775" s="109"/>
    </row>
    <row r="776" spans="3:3" ht="15.75" customHeight="1" x14ac:dyDescent="0.2">
      <c r="C776" s="109"/>
    </row>
    <row r="777" spans="3:3" ht="15.75" customHeight="1" x14ac:dyDescent="0.2">
      <c r="C777" s="109"/>
    </row>
    <row r="778" spans="3:3" ht="15.75" customHeight="1" x14ac:dyDescent="0.2">
      <c r="C778" s="109"/>
    </row>
    <row r="779" spans="3:3" ht="15.75" customHeight="1" x14ac:dyDescent="0.2">
      <c r="C779" s="109"/>
    </row>
    <row r="780" spans="3:3" ht="15.75" customHeight="1" x14ac:dyDescent="0.2">
      <c r="C780" s="109"/>
    </row>
    <row r="781" spans="3:3" ht="15.75" customHeight="1" x14ac:dyDescent="0.2">
      <c r="C781" s="109"/>
    </row>
    <row r="782" spans="3:3" ht="15.75" customHeight="1" x14ac:dyDescent="0.2">
      <c r="C782" s="109"/>
    </row>
    <row r="783" spans="3:3" ht="15.75" customHeight="1" x14ac:dyDescent="0.2">
      <c r="C783" s="109"/>
    </row>
    <row r="784" spans="3:3" ht="15.75" customHeight="1" x14ac:dyDescent="0.2">
      <c r="C784" s="109"/>
    </row>
    <row r="785" spans="3:3" ht="15.75" customHeight="1" x14ac:dyDescent="0.2">
      <c r="C785" s="109"/>
    </row>
    <row r="786" spans="3:3" ht="15.75" customHeight="1" x14ac:dyDescent="0.2">
      <c r="C786" s="109"/>
    </row>
    <row r="787" spans="3:3" ht="15.75" customHeight="1" x14ac:dyDescent="0.2">
      <c r="C787" s="109"/>
    </row>
    <row r="788" spans="3:3" ht="15.75" customHeight="1" x14ac:dyDescent="0.2">
      <c r="C788" s="109"/>
    </row>
    <row r="789" spans="3:3" ht="15.75" customHeight="1" x14ac:dyDescent="0.2">
      <c r="C789" s="109"/>
    </row>
    <row r="790" spans="3:3" ht="15.75" customHeight="1" x14ac:dyDescent="0.2">
      <c r="C790" s="109"/>
    </row>
    <row r="791" spans="3:3" ht="15.75" customHeight="1" x14ac:dyDescent="0.2">
      <c r="C791" s="109"/>
    </row>
    <row r="792" spans="3:3" ht="15.75" customHeight="1" x14ac:dyDescent="0.2">
      <c r="C792" s="109"/>
    </row>
    <row r="793" spans="3:3" ht="15.75" customHeight="1" x14ac:dyDescent="0.2">
      <c r="C793" s="109"/>
    </row>
    <row r="794" spans="3:3" ht="15.75" customHeight="1" x14ac:dyDescent="0.2">
      <c r="C794" s="109"/>
    </row>
    <row r="795" spans="3:3" ht="15.75" customHeight="1" x14ac:dyDescent="0.2">
      <c r="C795" s="109"/>
    </row>
    <row r="796" spans="3:3" ht="15.75" customHeight="1" x14ac:dyDescent="0.2">
      <c r="C796" s="109"/>
    </row>
    <row r="797" spans="3:3" ht="15.75" customHeight="1" x14ac:dyDescent="0.2">
      <c r="C797" s="109"/>
    </row>
    <row r="798" spans="3:3" ht="15.75" customHeight="1" x14ac:dyDescent="0.2">
      <c r="C798" s="109"/>
    </row>
    <row r="799" spans="3:3" ht="15.75" customHeight="1" x14ac:dyDescent="0.2">
      <c r="C799" s="109"/>
    </row>
    <row r="800" spans="3:3" ht="15.75" customHeight="1" x14ac:dyDescent="0.2">
      <c r="C800" s="109"/>
    </row>
    <row r="801" spans="3:3" ht="15.75" customHeight="1" x14ac:dyDescent="0.2">
      <c r="C801" s="109"/>
    </row>
    <row r="802" spans="3:3" ht="15.75" customHeight="1" x14ac:dyDescent="0.2">
      <c r="C802" s="109"/>
    </row>
    <row r="803" spans="3:3" ht="15.75" customHeight="1" x14ac:dyDescent="0.2">
      <c r="C803" s="109"/>
    </row>
    <row r="804" spans="3:3" ht="15.75" customHeight="1" x14ac:dyDescent="0.2">
      <c r="C804" s="109"/>
    </row>
    <row r="805" spans="3:3" ht="15.75" customHeight="1" x14ac:dyDescent="0.2">
      <c r="C805" s="109"/>
    </row>
    <row r="806" spans="3:3" ht="15.75" customHeight="1" x14ac:dyDescent="0.2">
      <c r="C806" s="109"/>
    </row>
    <row r="807" spans="3:3" ht="15.75" customHeight="1" x14ac:dyDescent="0.2">
      <c r="C807" s="109"/>
    </row>
    <row r="808" spans="3:3" ht="15.75" customHeight="1" x14ac:dyDescent="0.2">
      <c r="C808" s="109"/>
    </row>
    <row r="809" spans="3:3" ht="15.75" customHeight="1" x14ac:dyDescent="0.2">
      <c r="C809" s="109"/>
    </row>
    <row r="810" spans="3:3" ht="15.75" customHeight="1" x14ac:dyDescent="0.2">
      <c r="C810" s="109"/>
    </row>
    <row r="811" spans="3:3" ht="15.75" customHeight="1" x14ac:dyDescent="0.2">
      <c r="C811" s="109"/>
    </row>
    <row r="812" spans="3:3" ht="15.75" customHeight="1" x14ac:dyDescent="0.2">
      <c r="C812" s="109"/>
    </row>
    <row r="813" spans="3:3" ht="15.75" customHeight="1" x14ac:dyDescent="0.2">
      <c r="C813" s="109"/>
    </row>
    <row r="814" spans="3:3" ht="15.75" customHeight="1" x14ac:dyDescent="0.2">
      <c r="C814" s="109"/>
    </row>
    <row r="815" spans="3:3" ht="15.75" customHeight="1" x14ac:dyDescent="0.2">
      <c r="C815" s="109"/>
    </row>
    <row r="816" spans="3:3" ht="15.75" customHeight="1" x14ac:dyDescent="0.2">
      <c r="C816" s="109"/>
    </row>
    <row r="817" spans="3:3" ht="15.75" customHeight="1" x14ac:dyDescent="0.2">
      <c r="C817" s="109"/>
    </row>
    <row r="818" spans="3:3" ht="15.75" customHeight="1" x14ac:dyDescent="0.2">
      <c r="C818" s="109"/>
    </row>
    <row r="819" spans="3:3" ht="15.75" customHeight="1" x14ac:dyDescent="0.2">
      <c r="C819" s="109"/>
    </row>
    <row r="820" spans="3:3" ht="15.75" customHeight="1" x14ac:dyDescent="0.2">
      <c r="C820" s="109"/>
    </row>
    <row r="821" spans="3:3" ht="15.75" customHeight="1" x14ac:dyDescent="0.2">
      <c r="C821" s="109"/>
    </row>
    <row r="822" spans="3:3" ht="15.75" customHeight="1" x14ac:dyDescent="0.2">
      <c r="C822" s="109"/>
    </row>
    <row r="823" spans="3:3" ht="15.75" customHeight="1" x14ac:dyDescent="0.2">
      <c r="C823" s="109"/>
    </row>
    <row r="824" spans="3:3" ht="15.75" customHeight="1" x14ac:dyDescent="0.2">
      <c r="C824" s="109"/>
    </row>
    <row r="825" spans="3:3" ht="15.75" customHeight="1" x14ac:dyDescent="0.2">
      <c r="C825" s="109"/>
    </row>
    <row r="826" spans="3:3" ht="15.75" customHeight="1" x14ac:dyDescent="0.2">
      <c r="C826" s="109"/>
    </row>
    <row r="827" spans="3:3" ht="15.75" customHeight="1" x14ac:dyDescent="0.2">
      <c r="C827" s="109"/>
    </row>
    <row r="828" spans="3:3" ht="15.75" customHeight="1" x14ac:dyDescent="0.2">
      <c r="C828" s="109"/>
    </row>
    <row r="829" spans="3:3" ht="15.75" customHeight="1" x14ac:dyDescent="0.2">
      <c r="C829" s="109"/>
    </row>
    <row r="830" spans="3:3" ht="15.75" customHeight="1" x14ac:dyDescent="0.2">
      <c r="C830" s="109"/>
    </row>
    <row r="831" spans="3:3" ht="15.75" customHeight="1" x14ac:dyDescent="0.2">
      <c r="C831" s="109"/>
    </row>
    <row r="832" spans="3:3" ht="15.75" customHeight="1" x14ac:dyDescent="0.2">
      <c r="C832" s="109"/>
    </row>
    <row r="833" spans="3:3" ht="15.75" customHeight="1" x14ac:dyDescent="0.2">
      <c r="C833" s="109"/>
    </row>
    <row r="834" spans="3:3" ht="15.75" customHeight="1" x14ac:dyDescent="0.2">
      <c r="C834" s="109"/>
    </row>
    <row r="835" spans="3:3" ht="15.75" customHeight="1" x14ac:dyDescent="0.2">
      <c r="C835" s="109"/>
    </row>
    <row r="836" spans="3:3" ht="15.75" customHeight="1" x14ac:dyDescent="0.2">
      <c r="C836" s="109"/>
    </row>
    <row r="837" spans="3:3" ht="15.75" customHeight="1" x14ac:dyDescent="0.2">
      <c r="C837" s="109"/>
    </row>
    <row r="838" spans="3:3" ht="15.75" customHeight="1" x14ac:dyDescent="0.2">
      <c r="C838" s="109"/>
    </row>
    <row r="839" spans="3:3" ht="15.75" customHeight="1" x14ac:dyDescent="0.2">
      <c r="C839" s="109"/>
    </row>
    <row r="840" spans="3:3" ht="15.75" customHeight="1" x14ac:dyDescent="0.2">
      <c r="C840" s="109"/>
    </row>
    <row r="841" spans="3:3" ht="15.75" customHeight="1" x14ac:dyDescent="0.2">
      <c r="C841" s="109"/>
    </row>
    <row r="842" spans="3:3" ht="15.75" customHeight="1" x14ac:dyDescent="0.2">
      <c r="C842" s="109"/>
    </row>
    <row r="843" spans="3:3" ht="15.75" customHeight="1" x14ac:dyDescent="0.2">
      <c r="C843" s="109"/>
    </row>
    <row r="844" spans="3:3" ht="15.75" customHeight="1" x14ac:dyDescent="0.2">
      <c r="C844" s="109"/>
    </row>
    <row r="845" spans="3:3" ht="15.75" customHeight="1" x14ac:dyDescent="0.2">
      <c r="C845" s="109"/>
    </row>
    <row r="846" spans="3:3" ht="15.75" customHeight="1" x14ac:dyDescent="0.2">
      <c r="C846" s="109"/>
    </row>
    <row r="847" spans="3:3" ht="15.75" customHeight="1" x14ac:dyDescent="0.2">
      <c r="C847" s="109"/>
    </row>
    <row r="848" spans="3:3" ht="15.75" customHeight="1" x14ac:dyDescent="0.2">
      <c r="C848" s="109"/>
    </row>
    <row r="849" spans="3:3" ht="15.75" customHeight="1" x14ac:dyDescent="0.2">
      <c r="C849" s="109"/>
    </row>
    <row r="850" spans="3:3" ht="15.75" customHeight="1" x14ac:dyDescent="0.2">
      <c r="C850" s="109"/>
    </row>
    <row r="851" spans="3:3" ht="15.75" customHeight="1" x14ac:dyDescent="0.2">
      <c r="C851" s="109"/>
    </row>
    <row r="852" spans="3:3" ht="15.75" customHeight="1" x14ac:dyDescent="0.2">
      <c r="C852" s="109"/>
    </row>
    <row r="853" spans="3:3" ht="15.75" customHeight="1" x14ac:dyDescent="0.2">
      <c r="C853" s="109"/>
    </row>
    <row r="854" spans="3:3" ht="15.75" customHeight="1" x14ac:dyDescent="0.2">
      <c r="C854" s="109"/>
    </row>
    <row r="855" spans="3:3" ht="15.75" customHeight="1" x14ac:dyDescent="0.2">
      <c r="C855" s="109"/>
    </row>
    <row r="856" spans="3:3" ht="15.75" customHeight="1" x14ac:dyDescent="0.2">
      <c r="C856" s="109"/>
    </row>
    <row r="857" spans="3:3" ht="15.75" customHeight="1" x14ac:dyDescent="0.2">
      <c r="C857" s="109"/>
    </row>
    <row r="858" spans="3:3" ht="15.75" customHeight="1" x14ac:dyDescent="0.2">
      <c r="C858" s="109"/>
    </row>
    <row r="859" spans="3:3" ht="15.75" customHeight="1" x14ac:dyDescent="0.2">
      <c r="C859" s="109"/>
    </row>
    <row r="860" spans="3:3" ht="15.75" customHeight="1" x14ac:dyDescent="0.2">
      <c r="C860" s="109"/>
    </row>
    <row r="861" spans="3:3" ht="15.75" customHeight="1" x14ac:dyDescent="0.2">
      <c r="C861" s="109"/>
    </row>
    <row r="862" spans="3:3" ht="15.75" customHeight="1" x14ac:dyDescent="0.2">
      <c r="C862" s="109"/>
    </row>
    <row r="863" spans="3:3" ht="15.75" customHeight="1" x14ac:dyDescent="0.2">
      <c r="C863" s="109"/>
    </row>
    <row r="864" spans="3:3" ht="15.75" customHeight="1" x14ac:dyDescent="0.2">
      <c r="C864" s="109"/>
    </row>
    <row r="865" spans="3:3" ht="15.75" customHeight="1" x14ac:dyDescent="0.2">
      <c r="C865" s="109"/>
    </row>
    <row r="866" spans="3:3" ht="15.75" customHeight="1" x14ac:dyDescent="0.2">
      <c r="C866" s="109"/>
    </row>
    <row r="867" spans="3:3" ht="15.75" customHeight="1" x14ac:dyDescent="0.2">
      <c r="C867" s="109"/>
    </row>
    <row r="868" spans="3:3" ht="15.75" customHeight="1" x14ac:dyDescent="0.2">
      <c r="C868" s="109"/>
    </row>
    <row r="869" spans="3:3" ht="15.75" customHeight="1" x14ac:dyDescent="0.2">
      <c r="C869" s="109"/>
    </row>
    <row r="870" spans="3:3" ht="15.75" customHeight="1" x14ac:dyDescent="0.2">
      <c r="C870" s="109"/>
    </row>
    <row r="871" spans="3:3" ht="15.75" customHeight="1" x14ac:dyDescent="0.2">
      <c r="C871" s="109"/>
    </row>
    <row r="872" spans="3:3" ht="15.75" customHeight="1" x14ac:dyDescent="0.2">
      <c r="C872" s="109"/>
    </row>
    <row r="873" spans="3:3" ht="15.75" customHeight="1" x14ac:dyDescent="0.2">
      <c r="C873" s="109"/>
    </row>
    <row r="874" spans="3:3" ht="15.75" customHeight="1" x14ac:dyDescent="0.2">
      <c r="C874" s="109"/>
    </row>
    <row r="875" spans="3:3" ht="15.75" customHeight="1" x14ac:dyDescent="0.2">
      <c r="C875" s="109"/>
    </row>
    <row r="876" spans="3:3" ht="15.75" customHeight="1" x14ac:dyDescent="0.2">
      <c r="C876" s="109"/>
    </row>
    <row r="877" spans="3:3" ht="15.75" customHeight="1" x14ac:dyDescent="0.2">
      <c r="C877" s="109"/>
    </row>
    <row r="878" spans="3:3" ht="15.75" customHeight="1" x14ac:dyDescent="0.2">
      <c r="C878" s="109"/>
    </row>
    <row r="879" spans="3:3" ht="15.75" customHeight="1" x14ac:dyDescent="0.2">
      <c r="C879" s="109"/>
    </row>
    <row r="880" spans="3:3" ht="15.75" customHeight="1" x14ac:dyDescent="0.2">
      <c r="C880" s="109"/>
    </row>
    <row r="881" spans="3:3" ht="15.75" customHeight="1" x14ac:dyDescent="0.2">
      <c r="C881" s="109"/>
    </row>
    <row r="882" spans="3:3" ht="15.75" customHeight="1" x14ac:dyDescent="0.2">
      <c r="C882" s="109"/>
    </row>
    <row r="883" spans="3:3" ht="15.75" customHeight="1" x14ac:dyDescent="0.2">
      <c r="C883" s="109"/>
    </row>
    <row r="884" spans="3:3" ht="15.75" customHeight="1" x14ac:dyDescent="0.2">
      <c r="C884" s="109"/>
    </row>
    <row r="885" spans="3:3" ht="15.75" customHeight="1" x14ac:dyDescent="0.2">
      <c r="C885" s="109"/>
    </row>
    <row r="886" spans="3:3" ht="15.75" customHeight="1" x14ac:dyDescent="0.2">
      <c r="C886" s="109"/>
    </row>
    <row r="887" spans="3:3" ht="15.75" customHeight="1" x14ac:dyDescent="0.2">
      <c r="C887" s="109"/>
    </row>
    <row r="888" spans="3:3" ht="15.75" customHeight="1" x14ac:dyDescent="0.2">
      <c r="C888" s="109"/>
    </row>
    <row r="889" spans="3:3" ht="15.75" customHeight="1" x14ac:dyDescent="0.2">
      <c r="C889" s="109"/>
    </row>
    <row r="890" spans="3:3" ht="15.75" customHeight="1" x14ac:dyDescent="0.2">
      <c r="C890" s="109"/>
    </row>
    <row r="891" spans="3:3" ht="15.75" customHeight="1" x14ac:dyDescent="0.2">
      <c r="C891" s="109"/>
    </row>
    <row r="892" spans="3:3" ht="15.75" customHeight="1" x14ac:dyDescent="0.2">
      <c r="C892" s="109"/>
    </row>
    <row r="893" spans="3:3" ht="15.75" customHeight="1" x14ac:dyDescent="0.2">
      <c r="C893" s="109"/>
    </row>
    <row r="894" spans="3:3" ht="15.75" customHeight="1" x14ac:dyDescent="0.2">
      <c r="C894" s="109"/>
    </row>
    <row r="895" spans="3:3" ht="15.75" customHeight="1" x14ac:dyDescent="0.2">
      <c r="C895" s="109"/>
    </row>
    <row r="896" spans="3:3" ht="15.75" customHeight="1" x14ac:dyDescent="0.2">
      <c r="C896" s="109"/>
    </row>
    <row r="897" spans="3:3" ht="15.75" customHeight="1" x14ac:dyDescent="0.2">
      <c r="C897" s="109"/>
    </row>
    <row r="898" spans="3:3" ht="15.75" customHeight="1" x14ac:dyDescent="0.2">
      <c r="C898" s="109"/>
    </row>
    <row r="899" spans="3:3" ht="15.75" customHeight="1" x14ac:dyDescent="0.2">
      <c r="C899" s="109"/>
    </row>
    <row r="900" spans="3:3" ht="15.75" customHeight="1" x14ac:dyDescent="0.2">
      <c r="C900" s="109"/>
    </row>
    <row r="901" spans="3:3" ht="15.75" customHeight="1" x14ac:dyDescent="0.2">
      <c r="C901" s="109"/>
    </row>
    <row r="902" spans="3:3" ht="15.75" customHeight="1" x14ac:dyDescent="0.2">
      <c r="C902" s="109"/>
    </row>
    <row r="903" spans="3:3" ht="15.75" customHeight="1" x14ac:dyDescent="0.2">
      <c r="C903" s="109"/>
    </row>
    <row r="904" spans="3:3" ht="15.75" customHeight="1" x14ac:dyDescent="0.2">
      <c r="C904" s="109"/>
    </row>
    <row r="905" spans="3:3" ht="15.75" customHeight="1" x14ac:dyDescent="0.2">
      <c r="C905" s="109"/>
    </row>
    <row r="906" spans="3:3" ht="15.75" customHeight="1" x14ac:dyDescent="0.2">
      <c r="C906" s="109"/>
    </row>
    <row r="907" spans="3:3" ht="15.75" customHeight="1" x14ac:dyDescent="0.2">
      <c r="C907" s="109"/>
    </row>
    <row r="908" spans="3:3" ht="15.75" customHeight="1" x14ac:dyDescent="0.2">
      <c r="C908" s="109"/>
    </row>
    <row r="909" spans="3:3" ht="15.75" customHeight="1" x14ac:dyDescent="0.2">
      <c r="C909" s="109"/>
    </row>
    <row r="910" spans="3:3" ht="15.75" customHeight="1" x14ac:dyDescent="0.2">
      <c r="C910" s="109"/>
    </row>
    <row r="911" spans="3:3" ht="15.75" customHeight="1" x14ac:dyDescent="0.2">
      <c r="C911" s="109"/>
    </row>
    <row r="912" spans="3:3" ht="15.75" customHeight="1" x14ac:dyDescent="0.2">
      <c r="C912" s="109"/>
    </row>
    <row r="913" spans="3:3" ht="15.75" customHeight="1" x14ac:dyDescent="0.2">
      <c r="C913" s="109"/>
    </row>
    <row r="914" spans="3:3" ht="15.75" customHeight="1" x14ac:dyDescent="0.2">
      <c r="C914" s="109"/>
    </row>
    <row r="915" spans="3:3" ht="15.75" customHeight="1" x14ac:dyDescent="0.2">
      <c r="C915" s="109"/>
    </row>
    <row r="916" spans="3:3" ht="15.75" customHeight="1" x14ac:dyDescent="0.2">
      <c r="C916" s="109"/>
    </row>
    <row r="917" spans="3:3" ht="15.75" customHeight="1" x14ac:dyDescent="0.2">
      <c r="C917" s="109"/>
    </row>
    <row r="918" spans="3:3" ht="15.75" customHeight="1" x14ac:dyDescent="0.2">
      <c r="C918" s="109"/>
    </row>
    <row r="919" spans="3:3" ht="15.75" customHeight="1" x14ac:dyDescent="0.2">
      <c r="C919" s="109"/>
    </row>
    <row r="920" spans="3:3" ht="15.75" customHeight="1" x14ac:dyDescent="0.2">
      <c r="C920" s="109"/>
    </row>
    <row r="921" spans="3:3" ht="15.75" customHeight="1" x14ac:dyDescent="0.2">
      <c r="C921" s="109"/>
    </row>
    <row r="922" spans="3:3" ht="15.75" customHeight="1" x14ac:dyDescent="0.2">
      <c r="C922" s="109"/>
    </row>
    <row r="923" spans="3:3" ht="15.75" customHeight="1" x14ac:dyDescent="0.2">
      <c r="C923" s="109"/>
    </row>
    <row r="924" spans="3:3" ht="15.75" customHeight="1" x14ac:dyDescent="0.2">
      <c r="C924" s="109"/>
    </row>
    <row r="925" spans="3:3" ht="15.75" customHeight="1" x14ac:dyDescent="0.2">
      <c r="C925" s="109"/>
    </row>
    <row r="926" spans="3:3" ht="15.75" customHeight="1" x14ac:dyDescent="0.2">
      <c r="C926" s="109"/>
    </row>
    <row r="927" spans="3:3" ht="15.75" customHeight="1" x14ac:dyDescent="0.2">
      <c r="C927" s="109"/>
    </row>
    <row r="928" spans="3:3" ht="15.75" customHeight="1" x14ac:dyDescent="0.2">
      <c r="C928" s="109"/>
    </row>
    <row r="929" spans="3:3" ht="15.75" customHeight="1" x14ac:dyDescent="0.2">
      <c r="C929" s="109"/>
    </row>
    <row r="930" spans="3:3" ht="15.75" customHeight="1" x14ac:dyDescent="0.2">
      <c r="C930" s="109"/>
    </row>
    <row r="931" spans="3:3" ht="15.75" customHeight="1" x14ac:dyDescent="0.2">
      <c r="C931" s="109"/>
    </row>
    <row r="932" spans="3:3" ht="15.75" customHeight="1" x14ac:dyDescent="0.2">
      <c r="C932" s="109"/>
    </row>
    <row r="933" spans="3:3" ht="15.75" customHeight="1" x14ac:dyDescent="0.2">
      <c r="C933" s="109"/>
    </row>
    <row r="934" spans="3:3" ht="15.75" customHeight="1" x14ac:dyDescent="0.2">
      <c r="C934" s="109"/>
    </row>
    <row r="935" spans="3:3" ht="15.75" customHeight="1" x14ac:dyDescent="0.2">
      <c r="C935" s="109"/>
    </row>
    <row r="936" spans="3:3" ht="15.75" customHeight="1" x14ac:dyDescent="0.2">
      <c r="C936" s="109"/>
    </row>
    <row r="937" spans="3:3" ht="15.75" customHeight="1" x14ac:dyDescent="0.2">
      <c r="C937" s="109"/>
    </row>
    <row r="938" spans="3:3" ht="15.75" customHeight="1" x14ac:dyDescent="0.2">
      <c r="C938" s="109"/>
    </row>
    <row r="939" spans="3:3" ht="15.75" customHeight="1" x14ac:dyDescent="0.2">
      <c r="C939" s="109"/>
    </row>
    <row r="940" spans="3:3" ht="15.75" customHeight="1" x14ac:dyDescent="0.2">
      <c r="C940" s="109"/>
    </row>
    <row r="941" spans="3:3" ht="15.75" customHeight="1" x14ac:dyDescent="0.2">
      <c r="C941" s="109"/>
    </row>
    <row r="942" spans="3:3" ht="15.75" customHeight="1" x14ac:dyDescent="0.2">
      <c r="C942" s="109"/>
    </row>
    <row r="943" spans="3:3" ht="15.75" customHeight="1" x14ac:dyDescent="0.2">
      <c r="C943" s="109"/>
    </row>
    <row r="944" spans="3:3" ht="15.75" customHeight="1" x14ac:dyDescent="0.2">
      <c r="C944" s="109"/>
    </row>
    <row r="945" spans="3:3" ht="15.75" customHeight="1" x14ac:dyDescent="0.2">
      <c r="C945" s="109"/>
    </row>
    <row r="946" spans="3:3" ht="15.75" customHeight="1" x14ac:dyDescent="0.2">
      <c r="C946" s="109"/>
    </row>
    <row r="947" spans="3:3" ht="15.75" customHeight="1" x14ac:dyDescent="0.2">
      <c r="C947" s="109"/>
    </row>
    <row r="948" spans="3:3" ht="15.75" customHeight="1" x14ac:dyDescent="0.2">
      <c r="C948" s="109"/>
    </row>
    <row r="949" spans="3:3" ht="15.75" customHeight="1" x14ac:dyDescent="0.2">
      <c r="C949" s="109"/>
    </row>
    <row r="950" spans="3:3" ht="15.75" customHeight="1" x14ac:dyDescent="0.2">
      <c r="C950" s="109"/>
    </row>
    <row r="951" spans="3:3" ht="15.75" customHeight="1" x14ac:dyDescent="0.2">
      <c r="C951" s="109"/>
    </row>
    <row r="952" spans="3:3" ht="15.75" customHeight="1" x14ac:dyDescent="0.2">
      <c r="C952" s="109"/>
    </row>
    <row r="953" spans="3:3" ht="15.75" customHeight="1" x14ac:dyDescent="0.2">
      <c r="C953" s="109"/>
    </row>
    <row r="954" spans="3:3" ht="15.75" customHeight="1" x14ac:dyDescent="0.2">
      <c r="C954" s="109"/>
    </row>
    <row r="955" spans="3:3" ht="15.75" customHeight="1" x14ac:dyDescent="0.2">
      <c r="C955" s="109"/>
    </row>
    <row r="956" spans="3:3" ht="15.75" customHeight="1" x14ac:dyDescent="0.2">
      <c r="C956" s="109"/>
    </row>
    <row r="957" spans="3:3" ht="15.75" customHeight="1" x14ac:dyDescent="0.2">
      <c r="C957" s="109"/>
    </row>
    <row r="958" spans="3:3" ht="15.75" customHeight="1" x14ac:dyDescent="0.2">
      <c r="C958" s="109"/>
    </row>
    <row r="959" spans="3:3" ht="15.75" customHeight="1" x14ac:dyDescent="0.2">
      <c r="C959" s="109"/>
    </row>
    <row r="960" spans="3:3" ht="15.75" customHeight="1" x14ac:dyDescent="0.2">
      <c r="C960" s="109"/>
    </row>
    <row r="961" spans="3:3" ht="15.75" customHeight="1" x14ac:dyDescent="0.2">
      <c r="C961" s="109"/>
    </row>
    <row r="962" spans="3:3" ht="15.75" customHeight="1" x14ac:dyDescent="0.2">
      <c r="C962" s="109"/>
    </row>
    <row r="963" spans="3:3" ht="15.75" customHeight="1" x14ac:dyDescent="0.2">
      <c r="C963" s="109"/>
    </row>
    <row r="964" spans="3:3" ht="15.75" customHeight="1" x14ac:dyDescent="0.2">
      <c r="C964" s="109"/>
    </row>
    <row r="965" spans="3:3" ht="15.75" customHeight="1" x14ac:dyDescent="0.2">
      <c r="C965" s="109"/>
    </row>
    <row r="966" spans="3:3" ht="15.75" customHeight="1" x14ac:dyDescent="0.2">
      <c r="C966" s="109"/>
    </row>
    <row r="967" spans="3:3" ht="15.75" customHeight="1" x14ac:dyDescent="0.2">
      <c r="C967" s="109"/>
    </row>
    <row r="968" spans="3:3" ht="15.75" customHeight="1" x14ac:dyDescent="0.2">
      <c r="C968" s="109"/>
    </row>
    <row r="969" spans="3:3" ht="15.75" customHeight="1" x14ac:dyDescent="0.2">
      <c r="C969" s="109"/>
    </row>
    <row r="970" spans="3:3" ht="15.75" customHeight="1" x14ac:dyDescent="0.2">
      <c r="C970" s="109"/>
    </row>
    <row r="971" spans="3:3" ht="15.75" customHeight="1" x14ac:dyDescent="0.2">
      <c r="C971" s="109"/>
    </row>
    <row r="972" spans="3:3" ht="15.75" customHeight="1" x14ac:dyDescent="0.2">
      <c r="C972" s="109"/>
    </row>
    <row r="973" spans="3:3" ht="15.75" customHeight="1" x14ac:dyDescent="0.2">
      <c r="C973" s="109"/>
    </row>
    <row r="974" spans="3:3" ht="15.75" customHeight="1" x14ac:dyDescent="0.2">
      <c r="C974" s="109"/>
    </row>
    <row r="975" spans="3:3" ht="15.75" customHeight="1" x14ac:dyDescent="0.2">
      <c r="C975" s="109"/>
    </row>
    <row r="976" spans="3:3" ht="15.75" customHeight="1" x14ac:dyDescent="0.2">
      <c r="C976" s="109"/>
    </row>
    <row r="977" spans="3:3" ht="15.75" customHeight="1" x14ac:dyDescent="0.2">
      <c r="C977" s="109"/>
    </row>
    <row r="978" spans="3:3" ht="15.75" customHeight="1" x14ac:dyDescent="0.2">
      <c r="C978" s="109"/>
    </row>
    <row r="979" spans="3:3" ht="15.75" customHeight="1" x14ac:dyDescent="0.2">
      <c r="C979" s="109"/>
    </row>
    <row r="980" spans="3:3" ht="15.75" customHeight="1" x14ac:dyDescent="0.2">
      <c r="C980" s="109"/>
    </row>
    <row r="981" spans="3:3" ht="15.75" customHeight="1" x14ac:dyDescent="0.2">
      <c r="C981" s="109"/>
    </row>
    <row r="982" spans="3:3" ht="15.75" customHeight="1" x14ac:dyDescent="0.2">
      <c r="C982" s="109"/>
    </row>
    <row r="983" spans="3:3" ht="15.75" customHeight="1" x14ac:dyDescent="0.2">
      <c r="C983" s="109"/>
    </row>
    <row r="984" spans="3:3" ht="15.75" customHeight="1" x14ac:dyDescent="0.2">
      <c r="C984" s="109"/>
    </row>
    <row r="985" spans="3:3" ht="15.75" customHeight="1" x14ac:dyDescent="0.2">
      <c r="C985" s="109"/>
    </row>
    <row r="986" spans="3:3" ht="15.75" customHeight="1" x14ac:dyDescent="0.2">
      <c r="C986" s="109"/>
    </row>
    <row r="987" spans="3:3" ht="15.75" customHeight="1" x14ac:dyDescent="0.2">
      <c r="C987" s="109"/>
    </row>
    <row r="988" spans="3:3" ht="15.75" customHeight="1" x14ac:dyDescent="0.2">
      <c r="C988" s="109"/>
    </row>
    <row r="989" spans="3:3" ht="15.75" customHeight="1" x14ac:dyDescent="0.2">
      <c r="C989" s="10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5" zoomScale="98" zoomScaleNormal="98" workbookViewId="0">
      <selection activeCell="S7" sqref="S7 S7"/>
    </sheetView>
  </sheetViews>
  <sheetFormatPr defaultColWidth="16.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44" t="s">
        <v>2886</v>
      </c>
      <c r="B1" s="340"/>
      <c r="C1" s="340"/>
      <c r="D1" s="340"/>
      <c r="E1" s="209" t="s">
        <v>3029</v>
      </c>
      <c r="F1" s="209"/>
      <c r="G1" s="209"/>
      <c r="H1" s="209"/>
      <c r="I1" s="209"/>
      <c r="J1" s="209"/>
      <c r="K1" s="209"/>
      <c r="L1" s="209"/>
      <c r="M1" s="209"/>
      <c r="N1" s="209"/>
      <c r="O1" s="209"/>
      <c r="P1" s="209"/>
    </row>
    <row r="2" spans="1:16" ht="37.5" customHeight="1" x14ac:dyDescent="0.2">
      <c r="A2" s="344" t="s">
        <v>3030</v>
      </c>
      <c r="B2" s="340"/>
      <c r="C2" s="340"/>
      <c r="D2" s="340"/>
    </row>
    <row r="3" spans="1:16" ht="29.25" customHeight="1" x14ac:dyDescent="0.2">
      <c r="A3" s="234" t="s">
        <v>3031</v>
      </c>
      <c r="B3" s="235" t="s">
        <v>3032</v>
      </c>
      <c r="C3" s="236" t="s">
        <v>3033</v>
      </c>
      <c r="D3" s="73"/>
      <c r="E3" s="237">
        <f>E4+E14+E20+E277+E312+E315+E317</f>
        <v>0</v>
      </c>
      <c r="F3" s="237">
        <f>F4+F14+F20+F277+F312+F315+F317</f>
        <v>4</v>
      </c>
      <c r="G3" s="237">
        <f>IF(RefStr!C12&lt;&gt;"",INT(VALUE(MID(RefStr!C12,1,4))),0)</f>
        <v>2024</v>
      </c>
      <c r="H3" s="238">
        <f>IF(RefStr!C12&lt;&gt;"",INT(VALUE(MID(RefStr!C12,6,2))),0)</f>
        <v>12</v>
      </c>
      <c r="I3" s="239">
        <f>RefStr!C10*1</f>
        <v>22</v>
      </c>
      <c r="J3" s="240" t="str">
        <f>RefStr!H7</f>
        <v>DA</v>
      </c>
      <c r="K3" s="238" t="str">
        <f>RefStr!H9</f>
        <v>DA</v>
      </c>
      <c r="L3" s="238" t="str">
        <f>RefStr!H10</f>
        <v>DA</v>
      </c>
      <c r="M3" s="238" t="str">
        <f>RefStr!H8</f>
        <v>DA</v>
      </c>
      <c r="N3" s="238" t="str">
        <f>RefStr!H11</f>
        <v>DA</v>
      </c>
      <c r="O3" s="241">
        <f>RefStr!C6</f>
        <v>26215</v>
      </c>
      <c r="P3" s="209"/>
    </row>
    <row r="4" spans="1:16" ht="19.5" customHeight="1" x14ac:dyDescent="0.2">
      <c r="A4" s="345" t="s">
        <v>3034</v>
      </c>
      <c r="B4" s="346"/>
      <c r="C4" s="347"/>
      <c r="D4" s="73"/>
      <c r="E4" s="209">
        <f>SUM(E5:E13)</f>
        <v>0</v>
      </c>
      <c r="F4" s="209">
        <f>SUM(F5:F13)</f>
        <v>0</v>
      </c>
      <c r="G4" s="209"/>
      <c r="H4" s="209"/>
      <c r="I4" s="242" t="s">
        <v>3035</v>
      </c>
      <c r="J4" s="242" t="s">
        <v>3036</v>
      </c>
      <c r="K4" s="242" t="s">
        <v>3037</v>
      </c>
      <c r="L4" s="209"/>
      <c r="M4" s="209"/>
      <c r="N4" s="209"/>
      <c r="O4" s="209"/>
      <c r="P4" s="209"/>
    </row>
    <row r="5" spans="1:16" ht="63.75" customHeight="1" x14ac:dyDescent="0.2">
      <c r="A5" s="74">
        <v>1</v>
      </c>
      <c r="B5" s="75" t="str">
        <f t="shared" ref="B5:B13" si="0">IF(E5=1,"Pogreška",IF(F5=1,"Provjera","O.K."))</f>
        <v>O.K.</v>
      </c>
      <c r="C5" s="243" t="s">
        <v>3038</v>
      </c>
      <c r="D5" s="73"/>
      <c r="E5" s="209">
        <f t="shared" ref="E5:E13" si="1">MAX(G5:K5)</f>
        <v>0</v>
      </c>
      <c r="F5" s="209">
        <v>0</v>
      </c>
      <c r="G5" s="209"/>
      <c r="H5" s="209"/>
      <c r="I5" s="244">
        <f>IF(AND($I$3=11,OR($H$3=3,$H$3=9),OR($J$3&lt;&gt;"DA",$K$3&lt;&gt;"NE",$L$3&lt;&gt;"NE",$M$3&lt;&gt;"NE",$N$3&lt;&gt;"DA")),1,0)</f>
        <v>0</v>
      </c>
      <c r="J5" s="244">
        <f>IF(AND($I$3=11,$H$3=6,OR($J$3&lt;&gt;"DA",$K$3&lt;&gt;"NE",$L$3&lt;&gt;"NE",$M$3&lt;&gt;"NE",$N$3&lt;&gt;"DA")),1,0)</f>
        <v>0</v>
      </c>
      <c r="K5" s="237">
        <f>IF(AND($I$3=11,$H$3=12,OR($J$3&lt;&gt;"DA",$K$3&lt;&gt;"DA",$L$3&lt;&gt;"DA",$M$3&lt;&gt;"DA",$N$3&lt;&gt;"DA")),1,0)</f>
        <v>0</v>
      </c>
      <c r="L5" s="209"/>
      <c r="M5" s="209"/>
      <c r="N5" s="209"/>
      <c r="O5" s="209"/>
      <c r="P5" s="209"/>
    </row>
    <row r="6" spans="1:16" ht="73.5" customHeight="1" x14ac:dyDescent="0.2">
      <c r="A6" s="74">
        <v>2</v>
      </c>
      <c r="B6" s="75" t="str">
        <f t="shared" si="0"/>
        <v>O.K.</v>
      </c>
      <c r="C6" s="243" t="s">
        <v>3039</v>
      </c>
      <c r="D6" s="73"/>
      <c r="E6" s="209">
        <f t="shared" si="1"/>
        <v>0</v>
      </c>
      <c r="F6" s="209">
        <v>0</v>
      </c>
      <c r="G6" s="209"/>
      <c r="H6" s="209"/>
      <c r="I6" s="244">
        <f>IF(AND($I$3=12,OR($H$3=3,$H$3=9),OR($J$3&lt;&gt;"NE",$K$3&lt;&gt;"NE",$L$3&lt;&gt;"NE",$M$3&lt;&gt;"NE",$N$3&lt;&gt;"DA")),1,0)</f>
        <v>0</v>
      </c>
      <c r="J6" s="244">
        <f>IF(AND($I$3=12,$H$3=6,OR($J$3&lt;&gt;"DA",$K$3&lt;&gt;"NE",$L$3&lt;&gt;"NE",$M$3&lt;&gt;"NE",$N$3&lt;&gt;"DA")),1,0)</f>
        <v>0</v>
      </c>
      <c r="K6" s="237">
        <f>IF(AND($I$3=12,$H$3=12,OR(J3&lt;&gt;"DA",K3&lt;&gt;"DA",L3&lt;&gt;"DA",M3&lt;&gt;"DA",N3&lt;&gt;"DA")),1,0)</f>
        <v>0</v>
      </c>
      <c r="L6" s="209"/>
      <c r="M6" s="209"/>
      <c r="N6" s="209"/>
      <c r="O6" s="209"/>
      <c r="P6" s="209"/>
    </row>
    <row r="7" spans="1:16" ht="65.25" customHeight="1" x14ac:dyDescent="0.2">
      <c r="A7" s="74">
        <v>3</v>
      </c>
      <c r="B7" s="75" t="str">
        <f t="shared" si="0"/>
        <v>O.K.</v>
      </c>
      <c r="C7" s="243" t="s">
        <v>3040</v>
      </c>
      <c r="D7" s="73"/>
      <c r="E7" s="209">
        <f t="shared" si="1"/>
        <v>0</v>
      </c>
      <c r="F7" s="209">
        <v>0</v>
      </c>
      <c r="G7" s="209"/>
      <c r="H7" s="209"/>
      <c r="I7" s="237">
        <f>IF(AND($I$3=13,OR($H$3=3,$H$3=9),OR($J$3&lt;&gt;"DA",$K$3&lt;&gt;"NE",$L$3&lt;&gt;"NE",$M$3&lt;&gt;"NE",$N$3&lt;&gt;"NE")),1,0)</f>
        <v>0</v>
      </c>
      <c r="J7" s="237">
        <f>IF(AND($I$3=13,$H$3=6,OR($J$3&lt;&gt;"DA",$K$3&lt;&gt;"NE",$L$3&lt;&gt;"NE",$M$3&lt;&gt;"NE",$N$3&lt;&gt;"NE")),1,0)</f>
        <v>0</v>
      </c>
      <c r="K7" s="237">
        <f>IF(AND($I$3=13,$H$3=12,OR($J$3&lt;&gt;"DA",$K$3&lt;&gt;"DA",$L$3&lt;&gt;"DA",$M$3&lt;&gt;"DA",$N$3&lt;&gt;"NE")),1,0)</f>
        <v>0</v>
      </c>
      <c r="L7" s="209"/>
      <c r="M7" s="209"/>
      <c r="N7" s="209"/>
      <c r="O7" s="209"/>
      <c r="P7" s="209"/>
    </row>
    <row r="8" spans="1:16" ht="74.25" customHeight="1" x14ac:dyDescent="0.2">
      <c r="A8" s="74">
        <v>4</v>
      </c>
      <c r="B8" s="75" t="str">
        <f t="shared" si="0"/>
        <v>O.K.</v>
      </c>
      <c r="C8" s="243" t="s">
        <v>3041</v>
      </c>
      <c r="D8" s="73"/>
      <c r="E8" s="209">
        <f t="shared" si="1"/>
        <v>0</v>
      </c>
      <c r="F8" s="209">
        <v>0</v>
      </c>
      <c r="G8" s="209"/>
      <c r="H8" s="209"/>
      <c r="I8" s="237">
        <f>IF(AND($I$3=21,OR($H$3=3,$H$3=9),OR($J$3&lt;&gt;"DA",$K$3&lt;&gt;"NE",$L$3&lt;&gt;"NE",$M$3&lt;&gt;"NE",$N$3&lt;&gt;"NE")),1,0)</f>
        <v>0</v>
      </c>
      <c r="J8" s="237">
        <f>IF(AND($I$3=21,$H$3=6,OR($J$3&lt;&gt;"DA",$K$3&lt;&gt;"NE",$L$3&lt;&gt;"NE",$M$3&lt;&gt;"NE",$N$3&lt;&gt;"DA")),1,0)</f>
        <v>0</v>
      </c>
      <c r="K8" s="237">
        <f>IF(AND($I$3=21,$H$3=12,OR($J$3&lt;&gt;"DA",$K$3&lt;&gt;"DA",$L$3&lt;&gt;"DA",$M$3&lt;&gt;"DA",$N$3&lt;&gt;"DA")),1,0)</f>
        <v>0</v>
      </c>
      <c r="L8" s="209"/>
      <c r="M8" s="209"/>
      <c r="N8" s="209"/>
      <c r="O8" s="209"/>
      <c r="P8" s="209"/>
    </row>
    <row r="9" spans="1:16" ht="62.25" customHeight="1" x14ac:dyDescent="0.2">
      <c r="A9" s="74">
        <v>5</v>
      </c>
      <c r="B9" s="75" t="str">
        <f t="shared" si="0"/>
        <v>O.K.</v>
      </c>
      <c r="C9" s="243" t="s">
        <v>3042</v>
      </c>
      <c r="D9" s="73"/>
      <c r="E9" s="209">
        <f t="shared" si="1"/>
        <v>0</v>
      </c>
      <c r="F9" s="209">
        <v>0</v>
      </c>
      <c r="G9" s="209"/>
      <c r="H9" s="209"/>
      <c r="I9" s="237">
        <f>IF(AND($I$3=22,OR($H$3=3,$H$3=9),OR($J$3&lt;&gt;"DA",$K$3&lt;&gt;"NE",$L$3&lt;&gt;"NE",$M$3&lt;&gt;"NE",$N$3&lt;&gt;"DA")),1,0)</f>
        <v>0</v>
      </c>
      <c r="J9" s="237">
        <f>IF(AND($I$3=22,$H$3=6,OR($J$3&lt;&gt;"DA",$K$3&lt;&gt;"NE",$L$3&lt;&gt;"NE",$M$3&lt;&gt;"NE",$N$3&lt;&gt;"DA")),1,0)</f>
        <v>0</v>
      </c>
      <c r="K9" s="237">
        <f>IF(AND($I$3=22,$H$3=12,OR($J$3&lt;&gt;"DA",$K$3&lt;&gt;"DA",$L$3&lt;&gt;"DA",$M$3&lt;&gt;"DA",$N$3&lt;&gt;"DA")),1,0)</f>
        <v>0</v>
      </c>
      <c r="L9" s="209"/>
      <c r="M9" s="209"/>
      <c r="N9" s="209"/>
      <c r="O9" s="209"/>
      <c r="P9" s="209"/>
    </row>
    <row r="10" spans="1:16" ht="75.75" customHeight="1" x14ac:dyDescent="0.2">
      <c r="A10" s="74">
        <v>6</v>
      </c>
      <c r="B10" s="75" t="str">
        <f t="shared" si="0"/>
        <v>O.K.</v>
      </c>
      <c r="C10" s="243" t="s">
        <v>3043</v>
      </c>
      <c r="D10" s="73"/>
      <c r="E10" s="209">
        <f t="shared" si="1"/>
        <v>0</v>
      </c>
      <c r="F10" s="209">
        <v>0</v>
      </c>
      <c r="G10" s="209"/>
      <c r="H10" s="209"/>
      <c r="I10" s="237">
        <f>IF(AND($I$3=23,OR($H$3=3,$H$3=9)),1,0)</f>
        <v>0</v>
      </c>
      <c r="J10" s="237">
        <f>IF(AND($I$3=23,$H$3=6,OR($J$3&lt;&gt;"DA",$K$3&lt;&gt;"NE",$L$3&lt;&gt;"NE",$M$3&lt;&gt;"NE",$N$3&lt;&gt;"DA")),1,0)</f>
        <v>0</v>
      </c>
      <c r="K10" s="237">
        <f>IF(AND($I$3=23,$H$3=12,OR($J$3&lt;&gt;"DA",$K$3&lt;&gt;"DA",$L$3&lt;&gt;"DA",$M$3&lt;&gt;"DA",$N$3&lt;&gt;"DA")),1,0)</f>
        <v>0</v>
      </c>
      <c r="L10" s="209"/>
      <c r="M10" s="209"/>
      <c r="N10" s="209"/>
      <c r="O10" s="209"/>
      <c r="P10" s="209"/>
    </row>
    <row r="11" spans="1:16" ht="71.25" customHeight="1" x14ac:dyDescent="0.2">
      <c r="A11" s="74">
        <v>7</v>
      </c>
      <c r="B11" s="75" t="str">
        <f t="shared" si="0"/>
        <v>O.K.</v>
      </c>
      <c r="C11" s="243" t="s">
        <v>3044</v>
      </c>
      <c r="D11" s="73"/>
      <c r="E11" s="209">
        <f t="shared" si="1"/>
        <v>0</v>
      </c>
      <c r="F11" s="209">
        <v>0</v>
      </c>
      <c r="G11" s="209"/>
      <c r="H11" s="209"/>
      <c r="I11" s="237">
        <f>IF(AND($I$3=31,OR($H$3=3,$H$3=9),OR($J$3&lt;&gt;"DA",$K$3&lt;&gt;"NE",$L$3&lt;&gt;"NE",$M$3&lt;&gt;"NE",$N$3&lt;&gt;"NE")),1,0)</f>
        <v>0</v>
      </c>
      <c r="J11" s="237">
        <f>IF(AND($I$3=31,$H$3=6,OR($J$3&lt;&gt;"DA",$K$3&lt;&gt;"NE",$L$3&lt;&gt;"NE",$M$3&lt;&gt;"NE",$N$3&lt;&gt;"DA")),1,0)</f>
        <v>0</v>
      </c>
      <c r="K11" s="237">
        <f>IF(AND($I$3=31,$H$3=12,OR($J$3&lt;&gt;"DA",$K$3&lt;&gt;"DA",$L$3&lt;&gt;"DA",$M$3&lt;&gt;"DA",$N$3&lt;&gt;"DA")),1,0)</f>
        <v>0</v>
      </c>
      <c r="L11" s="209"/>
      <c r="M11" s="245"/>
      <c r="N11" s="209"/>
      <c r="O11" s="209"/>
      <c r="P11" s="209"/>
    </row>
    <row r="12" spans="1:16" ht="66" customHeight="1" x14ac:dyDescent="0.2">
      <c r="A12" s="74">
        <v>8</v>
      </c>
      <c r="B12" s="75" t="str">
        <f t="shared" si="0"/>
        <v>O.K.</v>
      </c>
      <c r="C12" s="243" t="s">
        <v>3045</v>
      </c>
      <c r="D12" s="73"/>
      <c r="E12" s="209">
        <f t="shared" si="1"/>
        <v>0</v>
      </c>
      <c r="F12" s="209">
        <v>0</v>
      </c>
      <c r="G12" s="209"/>
      <c r="H12" s="209"/>
      <c r="I12" s="237">
        <f>IF(AND($I$3=41,OR($H$3=3,$H$3=9),OR($J$3&lt;&gt;"DA",$K$3&lt;&gt;"NE",$L$3&lt;&gt;"NE",$M$3&lt;&gt;"NE",$N$3&lt;&gt;"DA")),1,0)</f>
        <v>0</v>
      </c>
      <c r="J12" s="237">
        <f>IF(AND($I$3=41,$H$3=6,OR($J$3&lt;&gt;"DA",$K$3&lt;&gt;"NE",$L$3&lt;&gt;"NE",$M$3&lt;&gt;"NE",$N$3&lt;&gt;"DA")),1,0)</f>
        <v>0</v>
      </c>
      <c r="K12" s="237">
        <f>IF(AND($I$3=41,$H$3=12,OR($J$3&lt;&gt;"DA",$K$3&lt;&gt;"DA",$L$3&lt;&gt;"DA",$M$3&lt;&gt;"DA",$N$3&lt;&gt;"DA")),1,0)</f>
        <v>0</v>
      </c>
      <c r="L12" s="209"/>
      <c r="M12" s="209"/>
      <c r="N12" s="209"/>
      <c r="O12" s="209"/>
      <c r="P12" s="209"/>
    </row>
    <row r="13" spans="1:16" ht="75" customHeight="1" x14ac:dyDescent="0.2">
      <c r="A13" s="74">
        <v>9</v>
      </c>
      <c r="B13" s="75" t="str">
        <f t="shared" si="0"/>
        <v>O.K.</v>
      </c>
      <c r="C13" s="243" t="s">
        <v>3046</v>
      </c>
      <c r="D13" s="73"/>
      <c r="E13" s="209">
        <f t="shared" si="1"/>
        <v>0</v>
      </c>
      <c r="F13" s="209">
        <v>0</v>
      </c>
      <c r="G13" s="209"/>
      <c r="H13" s="209"/>
      <c r="I13" s="237">
        <f>IF(AND($I$3=42,OR($H$3=3,$H$3=9),OR($J$3&lt;&gt;"DA",$K$3&lt;&gt;"NE",$L$3&lt;&gt;"NE",$M$3&lt;&gt;"NE",$N$3&lt;&gt;"NE")),1,0)</f>
        <v>0</v>
      </c>
      <c r="J13" s="237">
        <f>IF(AND($I$3=42,$H$3=6,OR($J$3&lt;&gt;"DA",$K$3&lt;&gt;"NE",$L$3&lt;&gt;"NE",$M$3&lt;&gt;"NE",$N$3&lt;&gt;"DA")),1,0)</f>
        <v>0</v>
      </c>
      <c r="K13" s="237">
        <f>IF(AND($I$3=42,$H$3=12,OR($J$3&lt;&gt;"DA",$K$3&lt;&gt;"DA",$L$3&lt;&gt;"DA",$M$3&lt;&gt;"DA",$N$3&lt;&gt;"DA")),1,0)</f>
        <v>0</v>
      </c>
      <c r="L13" s="209"/>
      <c r="M13" s="209"/>
      <c r="N13" s="209"/>
      <c r="O13" s="209"/>
      <c r="P13" s="209"/>
    </row>
    <row r="14" spans="1:16" ht="19.5" customHeight="1" x14ac:dyDescent="0.2">
      <c r="A14" s="341" t="s">
        <v>3047</v>
      </c>
      <c r="B14" s="342"/>
      <c r="C14" s="343"/>
      <c r="D14" s="73"/>
      <c r="E14" s="209">
        <f>SUM(E15:E19)</f>
        <v>0</v>
      </c>
      <c r="F14" s="209">
        <f>SUM(F15:F19)</f>
        <v>0</v>
      </c>
      <c r="G14" s="209"/>
      <c r="H14" s="209"/>
      <c r="I14" s="209"/>
      <c r="J14" s="209"/>
      <c r="K14" s="209"/>
      <c r="L14" s="209"/>
      <c r="M14" s="209"/>
      <c r="N14" s="209"/>
      <c r="O14" s="209"/>
      <c r="P14" s="209"/>
    </row>
    <row r="15" spans="1:16" ht="57" customHeight="1" x14ac:dyDescent="0.2">
      <c r="A15" s="74">
        <v>1</v>
      </c>
      <c r="B15" s="75" t="str">
        <f>IF(E15=1,"Pogreška",IF(F15=1,"Provjera","O.K."))</f>
        <v>O.K.</v>
      </c>
      <c r="C15" s="163" t="s">
        <v>3048</v>
      </c>
      <c r="D15" s="73"/>
      <c r="E15" s="209">
        <f>MAX(G15:K15)</f>
        <v>0</v>
      </c>
      <c r="F15" s="209">
        <f>MAX(L15:O15)</f>
        <v>0</v>
      </c>
      <c r="G15" s="237">
        <f>IF(AND(H3=12,J3="DA",M3="DA",OR(I3=11,I3=21,I3=22,I3=31,I3=41,I3=42),ABS(BILANCA!D170-'PR-RAS'!D647)&gt;0.001),1,0)</f>
        <v>0</v>
      </c>
      <c r="H15" s="237">
        <f>IF(AND(H3=12,J3="DA",M3="DA",OR(I3=11,I3=21,I3=22,I3=31,I3=41,I3=42),ABS(BILANCA!E170-'PR-RAS'!E647)&gt;0.001),1,0)</f>
        <v>0</v>
      </c>
      <c r="I15" s="209"/>
      <c r="J15" s="209"/>
      <c r="K15" s="209"/>
      <c r="L15" s="237">
        <f>IF(AND(H3=12,J3="DA",M3="DA",OR(I3=12,I3=13,I3=23),ABS(BILANCA!D170-'PR-RAS'!D647)&gt;0.001),1,0)</f>
        <v>0</v>
      </c>
      <c r="M15" s="237">
        <f>IF(AND(H3=12,J3="DA",M3="DA",OR(I3=12,I3=13,I3=23),ABS(BILANCA!E170-'PR-RAS'!E647)&gt;0.001),1,0)</f>
        <v>0</v>
      </c>
      <c r="N15" s="209"/>
      <c r="O15" s="209"/>
      <c r="P15" s="209"/>
    </row>
    <row r="16" spans="1:16" ht="42" customHeight="1" x14ac:dyDescent="0.2">
      <c r="A16" s="74">
        <v>2</v>
      </c>
      <c r="B16" s="75" t="str">
        <f>IF(E16=1,"Pogreška",IF(F16=1,"Provjera","O.K."))</f>
        <v>O.K.</v>
      </c>
      <c r="C16" s="163" t="s">
        <v>3049</v>
      </c>
      <c r="D16" s="73"/>
      <c r="E16" s="209">
        <f>MAX(G16:K16)</f>
        <v>0</v>
      </c>
      <c r="F16" s="209">
        <f>MAX(L16:O16)</f>
        <v>0</v>
      </c>
      <c r="G16" s="237">
        <f>IF(AND(H3=12,J3="DA",M3="DA",OR(I3=11,I3=21,I3=22,I3=31,I3=41,I3=42),ABS(BILANCA!D69-'PR-RAS'!D652)&gt;0.001),1,0)</f>
        <v>0</v>
      </c>
      <c r="H16" s="237">
        <f>IF(AND(H3=12,J3="DA",M3="DA",OR(I3=11,I3=21,I3=22,I3=31,I3=41,I3=42),ABS(BILANCA!E69-'PR-RAS'!E652)&gt;0.001),1,0)</f>
        <v>0</v>
      </c>
      <c r="I16" s="246"/>
      <c r="J16" s="209"/>
      <c r="K16" s="209"/>
      <c r="L16" s="237">
        <f>IF(AND(H3=12,J3="DA",M3="DA",OR(I3=12,I3=13,I3=23),ABS(BILANCA!D69-'PR-RAS'!D652)&gt;0.001),1,0)</f>
        <v>0</v>
      </c>
      <c r="M16" s="237">
        <f>IF(AND(H3=12,J3="DA",M3="DA",OR(I3=12,I3=13,I3=23),ABS(BILANCA!E69-'PR-RAS'!E652)&gt;0.001),1,0)</f>
        <v>0</v>
      </c>
      <c r="N16" s="209"/>
      <c r="O16" s="209"/>
      <c r="P16" s="209"/>
    </row>
    <row r="17" spans="1:16" ht="48.75" customHeight="1" x14ac:dyDescent="0.2">
      <c r="A17" s="74">
        <v>3</v>
      </c>
      <c r="B17" s="75" t="str">
        <f>IF(E17=1,"Pogreška",IF(F17=1,"Provjera","O.K."))</f>
        <v>O.K.</v>
      </c>
      <c r="C17" s="163" t="s">
        <v>3050</v>
      </c>
      <c r="D17" s="73"/>
      <c r="E17" s="209">
        <f>MAX(G17:L17)</f>
        <v>0</v>
      </c>
      <c r="F17" s="209">
        <v>0</v>
      </c>
      <c r="G17" s="247">
        <f>IF(AND(H3=12,J3="DA",M3="DA",BILANCA!D246-BILANCA!D250&gt;0.001,OR(ABS(BILANCA!D246-BILANCA!D250-'PR-RAS'!D645)&gt;0.001,ABS('PR-RAS'!D646)&gt;0.001)),1,0)</f>
        <v>0</v>
      </c>
      <c r="H17" s="237">
        <f>IF(AND(H3=12,J3="DA",M3="DA",BILANCA!E246-BILANCA!E250&gt;0.001,OR(ABS(BILANCA!E246-BILANCA!E250-'PR-RAS'!E645)&gt;0.001,ABS('PR-RAS'!E646)&gt;0.001)),1,0)</f>
        <v>0</v>
      </c>
      <c r="I17" s="248">
        <f>IF(AND(H3=12,J3="DA",M3="DA",BILANCA!D250-BILANCA!D246&gt;0.001,OR(ABS(BILANCA!D250-BILANCA!D246-'PR-RAS'!D646)&gt;0.001,ABS('PR-RAS'!D645)&gt;0.001)),1,0)</f>
        <v>0</v>
      </c>
      <c r="J17" s="248">
        <f>IF(AND(H3=12,J3="DA",M3="DA",BILANCA!E250-BILANCA!E246&gt;0.001,OR(ABS(BILANCA!E250-BILANCA!E246-'PR-RAS'!E646)&gt;0.001,ABS('PR-RAS'!E645)&gt;0.001)),1,0)</f>
        <v>0</v>
      </c>
      <c r="K17" s="209"/>
      <c r="L17" s="209"/>
      <c r="M17" s="209"/>
      <c r="N17" s="209"/>
      <c r="O17" s="209"/>
      <c r="P17" s="209"/>
    </row>
    <row r="18" spans="1:16" ht="43.5" customHeight="1" x14ac:dyDescent="0.2">
      <c r="A18" s="74">
        <v>4</v>
      </c>
      <c r="B18" s="75" t="str">
        <f>IF(E18=1,"Pogreška",IF(F18=1,"Provjera","O.K."))</f>
        <v>O.K.</v>
      </c>
      <c r="C18" s="163" t="s">
        <v>3051</v>
      </c>
      <c r="D18" s="73"/>
      <c r="E18" s="209">
        <f>MAX(G18:L18)</f>
        <v>0</v>
      </c>
      <c r="F18" s="209">
        <v>0</v>
      </c>
      <c r="G18" s="247">
        <f>IF(AND(J3="DA",K3="DA",ABS('PR-RAS'!D413-'PR-RAS'!D240-'RAS-funkcijski'!D141)&gt;0.001),1,0)</f>
        <v>0</v>
      </c>
      <c r="H18" s="249">
        <f>IF(AND(J3="DA",K3="DA",ABS('PR-RAS'!E413-'PR-RAS'!E240-'RAS-funkcijski'!E141)&gt;0.001),1,0)</f>
        <v>0</v>
      </c>
      <c r="I18" s="209"/>
      <c r="J18" s="209"/>
      <c r="K18" s="209"/>
      <c r="L18" s="209"/>
      <c r="M18" s="209"/>
      <c r="N18" s="209"/>
      <c r="O18" s="209"/>
      <c r="P18" s="209"/>
    </row>
    <row r="19" spans="1:16" ht="43.5" customHeight="1" x14ac:dyDescent="0.2">
      <c r="A19" s="74">
        <v>5</v>
      </c>
      <c r="B19" s="75" t="str">
        <f>IF(E19=1,"Pogreška",IF(F19=1,"Provjera","O.K."))</f>
        <v>O.K.</v>
      </c>
      <c r="C19" s="163" t="s">
        <v>3052</v>
      </c>
      <c r="D19" s="73"/>
      <c r="E19" s="209">
        <f>MAX(H19:L19)</f>
        <v>0</v>
      </c>
      <c r="F19" s="209">
        <v>0</v>
      </c>
      <c r="H19" s="237">
        <f>IF(AND(H3=12,I3&lt;&gt;13,ABS(BILANCA!E176-BILANCA!E234-OBVEZE!D42)&gt;0.001),1,0)</f>
        <v>0</v>
      </c>
      <c r="I19" s="209"/>
      <c r="J19" s="209"/>
      <c r="K19" s="209"/>
      <c r="L19" s="209"/>
      <c r="M19" s="209"/>
      <c r="N19" s="209"/>
      <c r="O19" s="209"/>
      <c r="P19" s="209"/>
    </row>
    <row r="20" spans="1:16" ht="19.5" customHeight="1" x14ac:dyDescent="0.2">
      <c r="A20" s="341" t="s">
        <v>3053</v>
      </c>
      <c r="B20" s="342"/>
      <c r="C20" s="343"/>
      <c r="D20" s="73"/>
      <c r="E20" s="209">
        <f>SUM(E21:E276)</f>
        <v>0</v>
      </c>
      <c r="F20" s="209">
        <f>SUM(F21:F276)</f>
        <v>4</v>
      </c>
      <c r="G20" s="209"/>
      <c r="H20" s="209"/>
      <c r="I20" s="209"/>
      <c r="J20" s="209"/>
      <c r="K20" s="209"/>
      <c r="L20" s="209"/>
      <c r="M20" s="209"/>
      <c r="N20" s="209"/>
      <c r="O20" s="209"/>
      <c r="P20" s="209"/>
    </row>
    <row r="21" spans="1:16" ht="22.5" customHeight="1" x14ac:dyDescent="0.2">
      <c r="A21" s="74">
        <v>1</v>
      </c>
      <c r="B21" s="75" t="str">
        <f t="shared" ref="B21:B84" si="2">IF(E21=1,"Pogreška",IF(F21=1,"Provjera","O.K."))</f>
        <v>O.K.</v>
      </c>
      <c r="C21" s="163" t="s">
        <v>3054</v>
      </c>
      <c r="D21" s="73"/>
      <c r="E21" s="209">
        <f t="shared" ref="E21:E84" si="3">MAX(G21:K21)</f>
        <v>0</v>
      </c>
      <c r="F21" s="209">
        <f t="shared" ref="F21:F84" si="4">MAX(L21:O21)</f>
        <v>0</v>
      </c>
      <c r="G21" s="209">
        <f>IF(OR(AND('PR-RAS'!D152=0,MAX('PR-RAS'!D653:D656)&gt;0),AND('PR-RAS'!E152=0,MAX('PR-RAS'!E653:E656)&gt;0)),1,0)</f>
        <v>0</v>
      </c>
      <c r="H21" s="209">
        <f>IF(OR(AND('PR-RAS'!D152&lt;&gt;0,MAX('PR-RAS'!D653:D656)=0),AND('PR-RAS'!E152&lt;&gt;0,MAX('PR-RAS'!E653:E656)=0)),1,0)</f>
        <v>0</v>
      </c>
      <c r="I21" s="209"/>
      <c r="J21" s="209"/>
      <c r="K21" s="209"/>
      <c r="L21" s="209"/>
      <c r="M21" s="209"/>
      <c r="N21" s="209"/>
      <c r="O21" s="209"/>
      <c r="P21" s="209"/>
    </row>
    <row r="22" spans="1:16" ht="15" customHeight="1" x14ac:dyDescent="0.2">
      <c r="A22" s="74">
        <v>2</v>
      </c>
      <c r="B22" s="75" t="str">
        <f t="shared" si="2"/>
        <v>O.K.</v>
      </c>
      <c r="C22" s="250" t="s">
        <v>3055</v>
      </c>
      <c r="D22" s="73"/>
      <c r="E22" s="209">
        <f t="shared" si="3"/>
        <v>0</v>
      </c>
      <c r="F22" s="209">
        <f t="shared" si="4"/>
        <v>0</v>
      </c>
      <c r="G22" s="209">
        <f>IF(OR(AND('PR-RAS'!D653=0,'PR-RAS'!D655&lt;&gt;0),AND('PR-RAS'!D653&lt;&gt;0,'PR-RAS'!D655=0)),1,0)</f>
        <v>0</v>
      </c>
      <c r="H22" s="209">
        <f>IF(OR(AND('PR-RAS'!E653=0,'PR-RAS'!E655&lt;&gt;0),AND('PR-RAS'!E653&lt;&gt;0,'PR-RAS'!E655=0)),1,0)</f>
        <v>0</v>
      </c>
      <c r="I22" s="209"/>
      <c r="J22" s="209"/>
      <c r="K22" s="209"/>
      <c r="L22" s="209"/>
      <c r="M22" s="209"/>
      <c r="N22" s="209"/>
      <c r="O22" s="209"/>
      <c r="P22" s="209"/>
    </row>
    <row r="23" spans="1:16" ht="15" customHeight="1" x14ac:dyDescent="0.2">
      <c r="A23" s="74">
        <v>3</v>
      </c>
      <c r="B23" s="75" t="str">
        <f t="shared" si="2"/>
        <v>O.K.</v>
      </c>
      <c r="C23" s="250" t="s">
        <v>3056</v>
      </c>
      <c r="D23" s="73"/>
      <c r="E23" s="209">
        <f t="shared" si="3"/>
        <v>0</v>
      </c>
      <c r="F23" s="209">
        <f t="shared" si="4"/>
        <v>0</v>
      </c>
      <c r="G23" s="209">
        <f>IF(OR(AND('PR-RAS'!D654=0,'PR-RAS'!D656&lt;&gt;0),AND('PR-RAS'!D654&lt;&gt;0,'PR-RAS'!D656=0)),1,0)</f>
        <v>0</v>
      </c>
      <c r="H23" s="209">
        <f>IF(OR(AND('PR-RAS'!E654=0,'PR-RAS'!E656&lt;&gt;0),AND('PR-RAS'!E654&lt;&gt;0,'PR-RAS'!E656=0)),1,0)</f>
        <v>0</v>
      </c>
      <c r="I23" s="209"/>
      <c r="J23" s="209"/>
      <c r="K23" s="209"/>
      <c r="L23" s="209"/>
      <c r="M23" s="209"/>
      <c r="N23" s="209"/>
      <c r="O23" s="209"/>
      <c r="P23" s="209"/>
    </row>
    <row r="24" spans="1:16" ht="15" customHeight="1" x14ac:dyDescent="0.2">
      <c r="A24" s="74">
        <v>4</v>
      </c>
      <c r="B24" s="75" t="str">
        <f t="shared" si="2"/>
        <v>O.K.</v>
      </c>
      <c r="C24" s="250" t="s">
        <v>3057</v>
      </c>
      <c r="D24" s="73"/>
      <c r="E24" s="209">
        <f t="shared" si="3"/>
        <v>0</v>
      </c>
      <c r="F24" s="209">
        <f t="shared" si="4"/>
        <v>0</v>
      </c>
      <c r="G24" s="209">
        <f>IF(ROUND('PR-RAS'!D658,2)&gt;ROUND('PR-RAS'!D24,2),1,0)</f>
        <v>0</v>
      </c>
      <c r="H24" s="209">
        <f>IF(ROUND('PR-RAS'!E658,2)&gt;ROUND('PR-RAS'!E24,2),1,0)</f>
        <v>0</v>
      </c>
      <c r="I24" s="209"/>
      <c r="J24" s="209"/>
      <c r="K24" s="209"/>
      <c r="L24" s="209"/>
      <c r="M24" s="209"/>
      <c r="N24" s="209"/>
      <c r="O24" s="209"/>
      <c r="P24" s="209"/>
    </row>
    <row r="25" spans="1:16" ht="15" customHeight="1" x14ac:dyDescent="0.2">
      <c r="A25" s="74">
        <v>5</v>
      </c>
      <c r="B25" s="75" t="str">
        <f t="shared" si="2"/>
        <v>O.K.</v>
      </c>
      <c r="C25" s="250" t="s">
        <v>3058</v>
      </c>
      <c r="D25" s="73"/>
      <c r="E25" s="209">
        <f t="shared" si="3"/>
        <v>0</v>
      </c>
      <c r="F25" s="209">
        <f t="shared" si="4"/>
        <v>0</v>
      </c>
      <c r="G25" s="209">
        <f>IF(ROUND('PR-RAS'!D659+'PR-RAS'!D660,2)&gt;ROUND('PR-RAS'!D33,2),1,0)</f>
        <v>0</v>
      </c>
      <c r="H25" s="209">
        <f>IF(ROUND('PR-RAS'!E659+'PR-RAS'!E660,2)&gt;ROUND('PR-RAS'!E33,2),1,0)</f>
        <v>0</v>
      </c>
      <c r="I25" s="209"/>
      <c r="J25" s="209"/>
      <c r="K25" s="209"/>
      <c r="L25" s="209"/>
      <c r="M25" s="209"/>
      <c r="N25" s="209"/>
      <c r="O25" s="209"/>
      <c r="P25" s="209"/>
    </row>
    <row r="26" spans="1:16" ht="15" customHeight="1" x14ac:dyDescent="0.2">
      <c r="A26" s="74">
        <v>6</v>
      </c>
      <c r="B26" s="75" t="str">
        <f t="shared" si="2"/>
        <v>O.K.</v>
      </c>
      <c r="C26" s="250" t="s">
        <v>3059</v>
      </c>
      <c r="D26" s="73"/>
      <c r="E26" s="209">
        <f t="shared" si="3"/>
        <v>0</v>
      </c>
      <c r="F26" s="209">
        <f t="shared" si="4"/>
        <v>0</v>
      </c>
      <c r="G26" s="209">
        <f>IF(ABS('PR-RAS'!D60-SUM('PR-RAS'!D661:D664))&gt;0.001,1,0)</f>
        <v>0</v>
      </c>
      <c r="H26" s="209">
        <f>IF(ABS('PR-RAS'!E60-SUM('PR-RAS'!E661:E664))&gt;0.001,1,0)</f>
        <v>0</v>
      </c>
      <c r="I26" s="209"/>
      <c r="J26" s="209"/>
      <c r="K26" s="209"/>
      <c r="L26" s="209"/>
      <c r="M26" s="209"/>
      <c r="N26" s="209"/>
      <c r="O26" s="209"/>
      <c r="P26" s="209"/>
    </row>
    <row r="27" spans="1:16" ht="15" customHeight="1" x14ac:dyDescent="0.2">
      <c r="A27" s="74">
        <v>7</v>
      </c>
      <c r="B27" s="75" t="str">
        <f t="shared" si="2"/>
        <v>O.K.</v>
      </c>
      <c r="C27" s="250" t="s">
        <v>3060</v>
      </c>
      <c r="D27" s="73"/>
      <c r="E27" s="209">
        <f t="shared" si="3"/>
        <v>0</v>
      </c>
      <c r="F27" s="209">
        <f t="shared" si="4"/>
        <v>0</v>
      </c>
      <c r="G27" s="209">
        <f>IF(ABS('PR-RAS'!D61-SUM('PR-RAS'!D665:'PR-RAS'!D668))&gt;0.001,1,0)</f>
        <v>0</v>
      </c>
      <c r="H27" s="209">
        <f>IF(ABS('PR-RAS'!E61-SUM('PR-RAS'!E665:'PR-RAS'!E668))&gt;0.001,1,0)</f>
        <v>0</v>
      </c>
      <c r="I27" s="209"/>
      <c r="J27" s="209"/>
      <c r="K27" s="209"/>
      <c r="L27" s="209"/>
      <c r="M27" s="209"/>
      <c r="N27" s="209"/>
      <c r="O27" s="209"/>
      <c r="P27" s="209"/>
    </row>
    <row r="28" spans="1:16" ht="15" customHeight="1" x14ac:dyDescent="0.2">
      <c r="A28" s="74">
        <v>8</v>
      </c>
      <c r="B28" s="75" t="str">
        <f t="shared" si="2"/>
        <v>O.K.</v>
      </c>
      <c r="C28" s="250" t="s">
        <v>3061</v>
      </c>
      <c r="D28" s="73"/>
      <c r="E28" s="209">
        <f t="shared" si="3"/>
        <v>0</v>
      </c>
      <c r="F28" s="209">
        <f t="shared" si="4"/>
        <v>0</v>
      </c>
      <c r="G28" s="209">
        <f>IF(ABS('PR-RAS'!D63-SUM('PR-RAS'!D669:D671))&gt;0.001,1,0)</f>
        <v>0</v>
      </c>
      <c r="H28" s="209">
        <f>IF(ABS('PR-RAS'!E63-SUM('PR-RAS'!E669:E671))&gt;0.001,1,0)</f>
        <v>0</v>
      </c>
      <c r="I28" s="209"/>
      <c r="J28" s="209"/>
      <c r="K28" s="209"/>
      <c r="L28" s="209"/>
      <c r="M28" s="209"/>
      <c r="N28" s="209"/>
      <c r="O28" s="209"/>
      <c r="P28" s="209"/>
    </row>
    <row r="29" spans="1:16" ht="15" customHeight="1" x14ac:dyDescent="0.2">
      <c r="A29" s="74">
        <v>9</v>
      </c>
      <c r="B29" s="75" t="str">
        <f t="shared" si="2"/>
        <v>O.K.</v>
      </c>
      <c r="C29" s="250" t="s">
        <v>3062</v>
      </c>
      <c r="D29" s="73"/>
      <c r="E29" s="209">
        <f t="shared" si="3"/>
        <v>0</v>
      </c>
      <c r="F29" s="209">
        <f t="shared" si="4"/>
        <v>0</v>
      </c>
      <c r="G29" s="209">
        <f>IF(ABS('PR-RAS'!D64-SUM('PR-RAS'!D672:D674))&gt;0.001,1,0)</f>
        <v>0</v>
      </c>
      <c r="H29" s="209">
        <f>IF(ABS('PR-RAS'!E64-SUM('PR-RAS'!E672:E674))&gt;0.001,1,0)</f>
        <v>0</v>
      </c>
      <c r="I29" s="209"/>
      <c r="J29" s="209"/>
      <c r="K29" s="209"/>
      <c r="L29" s="209"/>
      <c r="M29" s="209"/>
      <c r="N29" s="209"/>
      <c r="O29" s="209"/>
      <c r="P29" s="209"/>
    </row>
    <row r="30" spans="1:16" ht="15" customHeight="1" x14ac:dyDescent="0.2">
      <c r="A30" s="74">
        <v>10</v>
      </c>
      <c r="B30" s="75" t="str">
        <f t="shared" si="2"/>
        <v>O.K.</v>
      </c>
      <c r="C30" s="250" t="s">
        <v>3063</v>
      </c>
      <c r="D30" s="73"/>
      <c r="E30" s="209">
        <f t="shared" si="3"/>
        <v>0</v>
      </c>
      <c r="F30" s="209">
        <f t="shared" si="4"/>
        <v>0</v>
      </c>
      <c r="G30" s="209">
        <f>IF(ROUND('PR-RAS'!D69,2)&lt;&gt;ROUND('PR-RAS'!D675+'PR-RAS'!D676,2),1,0)</f>
        <v>0</v>
      </c>
      <c r="H30" s="209">
        <f>IF(ROUND('PR-RAS'!E69,2)&lt;&gt;ROUND('PR-RAS'!E675+'PR-RAS'!E676,2),1,0)</f>
        <v>0</v>
      </c>
      <c r="I30" s="209"/>
      <c r="J30" s="209"/>
      <c r="K30" s="209"/>
      <c r="L30" s="209"/>
      <c r="M30" s="209"/>
      <c r="N30" s="209"/>
      <c r="O30" s="209"/>
      <c r="P30" s="209"/>
    </row>
    <row r="31" spans="1:16" ht="15" customHeight="1" x14ac:dyDescent="0.2">
      <c r="A31" s="74">
        <v>11</v>
      </c>
      <c r="B31" s="75" t="str">
        <f t="shared" si="2"/>
        <v>O.K.</v>
      </c>
      <c r="C31" s="250" t="s">
        <v>3064</v>
      </c>
      <c r="D31" s="73"/>
      <c r="E31" s="209">
        <f t="shared" si="3"/>
        <v>0</v>
      </c>
      <c r="F31" s="209">
        <f t="shared" si="4"/>
        <v>0</v>
      </c>
      <c r="G31" s="209">
        <f>IF(ABS('PR-RAS'!D70-'PR-RAS'!D677-'PR-RAS'!D678)&gt;0.001,1,0)</f>
        <v>0</v>
      </c>
      <c r="H31" s="209">
        <f>IF(ABS('PR-RAS'!E70-'PR-RAS'!E677-'PR-RAS'!E678)&gt;0.001,1,0)</f>
        <v>0</v>
      </c>
      <c r="I31" s="209"/>
      <c r="J31" s="209"/>
      <c r="K31" s="209"/>
      <c r="L31" s="209"/>
      <c r="M31" s="209"/>
      <c r="N31" s="209"/>
      <c r="O31" s="209"/>
      <c r="P31" s="209"/>
    </row>
    <row r="32" spans="1:16" ht="15" customHeight="1" x14ac:dyDescent="0.2">
      <c r="A32" s="74">
        <v>238</v>
      </c>
      <c r="B32" s="75" t="str">
        <f t="shared" si="2"/>
        <v>O.K.</v>
      </c>
      <c r="C32" s="250" t="s">
        <v>3065</v>
      </c>
      <c r="D32" s="73"/>
      <c r="E32" s="209">
        <f t="shared" si="3"/>
        <v>0</v>
      </c>
      <c r="F32" s="209">
        <f t="shared" si="4"/>
        <v>0</v>
      </c>
      <c r="G32" s="209">
        <f>IF(ABS('PR-RAS'!D72-SUM('PR-RAS'!D679:'PR-RAS'!D685))&gt;0.001,1,0)</f>
        <v>0</v>
      </c>
      <c r="H32" s="209">
        <f>IF(ABS('PR-RAS'!E72-SUM('PR-RAS'!E679:'PR-RAS'!E685))&gt;0.001,1,0)</f>
        <v>0</v>
      </c>
      <c r="I32" s="209"/>
      <c r="J32" s="209"/>
      <c r="K32" s="209"/>
      <c r="L32" s="209"/>
      <c r="M32" s="209"/>
      <c r="N32" s="209"/>
      <c r="O32" s="209"/>
      <c r="P32" s="209"/>
    </row>
    <row r="33" spans="1:16" ht="15" customHeight="1" x14ac:dyDescent="0.2">
      <c r="A33" s="74">
        <v>239</v>
      </c>
      <c r="B33" s="75" t="str">
        <f t="shared" si="2"/>
        <v>O.K.</v>
      </c>
      <c r="C33" s="250" t="s">
        <v>3066</v>
      </c>
      <c r="D33" s="73"/>
      <c r="E33" s="209">
        <f t="shared" si="3"/>
        <v>0</v>
      </c>
      <c r="F33" s="209">
        <f t="shared" si="4"/>
        <v>0</v>
      </c>
      <c r="G33" s="209">
        <f>IF(ABS('PR-RAS'!D73-SUM('PR-RAS'!D686:'PR-RAS'!D693))&gt;0.001,1,0)</f>
        <v>0</v>
      </c>
      <c r="H33" s="209">
        <f>IF(ABS('PR-RAS'!E73-SUM('PR-RAS'!E686:'PR-RAS'!E693))&gt;0.001,1,0)</f>
        <v>0</v>
      </c>
      <c r="I33" s="209"/>
      <c r="J33" s="209"/>
      <c r="K33" s="209"/>
      <c r="L33" s="209"/>
      <c r="M33" s="209"/>
      <c r="N33" s="209"/>
      <c r="O33" s="209"/>
      <c r="P33" s="209"/>
    </row>
    <row r="34" spans="1:16" ht="15" customHeight="1" x14ac:dyDescent="0.2">
      <c r="A34" s="74">
        <v>12</v>
      </c>
      <c r="B34" s="75" t="str">
        <f t="shared" si="2"/>
        <v>O.K.</v>
      </c>
      <c r="C34" s="250" t="s">
        <v>3067</v>
      </c>
      <c r="D34" s="73"/>
      <c r="E34" s="209">
        <f t="shared" si="3"/>
        <v>0</v>
      </c>
      <c r="F34" s="209">
        <f t="shared" si="4"/>
        <v>0</v>
      </c>
      <c r="G34" s="209">
        <f>IF(ABS('PR-RAS'!D75-SUM('PR-RAS'!D694:D697))&gt;0.001,1,0)</f>
        <v>0</v>
      </c>
      <c r="H34" s="209">
        <f>IF(ABS('PR-RAS'!E75-SUM('PR-RAS'!E694:E697))&gt;0.001,1,0)</f>
        <v>0</v>
      </c>
      <c r="I34" s="209"/>
      <c r="J34" s="209"/>
      <c r="K34" s="209"/>
      <c r="L34" s="209"/>
      <c r="M34" s="209"/>
      <c r="N34" s="209"/>
      <c r="O34" s="209"/>
      <c r="P34" s="209"/>
    </row>
    <row r="35" spans="1:16" ht="15" customHeight="1" x14ac:dyDescent="0.2">
      <c r="A35" s="74">
        <v>13</v>
      </c>
      <c r="B35" s="75" t="str">
        <f t="shared" si="2"/>
        <v>O.K.</v>
      </c>
      <c r="C35" s="250" t="s">
        <v>3068</v>
      </c>
      <c r="D35" s="73"/>
      <c r="E35" s="209">
        <f t="shared" si="3"/>
        <v>0</v>
      </c>
      <c r="F35" s="209">
        <f t="shared" si="4"/>
        <v>0</v>
      </c>
      <c r="G35" s="209">
        <f>IF(ABS('PR-RAS'!D76-SUM('PR-RAS'!D698:D701))&gt;0.001,1,0)</f>
        <v>0</v>
      </c>
      <c r="H35" s="209">
        <f>IF(ABS('PR-RAS'!E76-SUM('PR-RAS'!E698:E701))&gt;0.001,1,0)</f>
        <v>0</v>
      </c>
      <c r="I35" s="209"/>
      <c r="J35" s="209"/>
      <c r="K35" s="209"/>
      <c r="L35" s="209"/>
      <c r="M35" s="209"/>
      <c r="N35" s="209"/>
      <c r="O35" s="209"/>
      <c r="P35" s="209"/>
    </row>
    <row r="36" spans="1:16" ht="15" customHeight="1" x14ac:dyDescent="0.2">
      <c r="A36" s="74">
        <v>14</v>
      </c>
      <c r="B36" s="75" t="str">
        <f t="shared" si="2"/>
        <v>O.K.</v>
      </c>
      <c r="C36" s="250" t="s">
        <v>3069</v>
      </c>
      <c r="D36" s="73"/>
      <c r="E36" s="209">
        <f t="shared" si="3"/>
        <v>0</v>
      </c>
      <c r="F36" s="209">
        <f t="shared" si="4"/>
        <v>0</v>
      </c>
      <c r="G36" s="209">
        <f>IF(ROUND('PR-RAS'!D702,2)&gt;ROUND('PR-RAS'!D90,2),1,0)</f>
        <v>0</v>
      </c>
      <c r="H36" s="209">
        <f>IF(ROUND('PR-RAS'!E702,2)&gt;ROUND('PR-RAS'!E90,2),1,0)</f>
        <v>0</v>
      </c>
      <c r="I36" s="209"/>
      <c r="J36" s="209"/>
      <c r="K36" s="209"/>
      <c r="L36" s="209"/>
      <c r="M36" s="209"/>
      <c r="N36" s="209"/>
      <c r="O36" s="209"/>
      <c r="P36" s="209"/>
    </row>
    <row r="37" spans="1:16" ht="15" customHeight="1" x14ac:dyDescent="0.2">
      <c r="A37" s="74">
        <v>15</v>
      </c>
      <c r="B37" s="75" t="str">
        <f t="shared" si="2"/>
        <v>O.K.</v>
      </c>
      <c r="C37" s="250" t="s">
        <v>3070</v>
      </c>
      <c r="D37" s="73"/>
      <c r="E37" s="209">
        <f t="shared" si="3"/>
        <v>0</v>
      </c>
      <c r="F37" s="209">
        <f t="shared" si="4"/>
        <v>0</v>
      </c>
      <c r="G37" s="209">
        <f>IF(ABS('PR-RAS'!D105-SUM('PR-RAS'!D703:D709))&gt;0.001,1,0)</f>
        <v>0</v>
      </c>
      <c r="H37" s="209">
        <f>IF(ABS('PR-RAS'!E105-SUM('PR-RAS'!E703:E709))&gt;0.001,1,0)</f>
        <v>0</v>
      </c>
      <c r="I37" s="209"/>
      <c r="J37" s="209"/>
      <c r="K37" s="209"/>
      <c r="L37" s="209"/>
      <c r="M37" s="209"/>
      <c r="N37" s="209"/>
      <c r="O37" s="209"/>
      <c r="P37" s="209"/>
    </row>
    <row r="38" spans="1:16" ht="15" customHeight="1" x14ac:dyDescent="0.2">
      <c r="A38" s="74">
        <v>16</v>
      </c>
      <c r="B38" s="75" t="str">
        <f t="shared" si="2"/>
        <v>O.K.</v>
      </c>
      <c r="C38" s="250" t="s">
        <v>3071</v>
      </c>
      <c r="D38" s="73"/>
      <c r="E38" s="209">
        <f t="shared" si="3"/>
        <v>0</v>
      </c>
      <c r="F38" s="209">
        <f t="shared" si="4"/>
        <v>0</v>
      </c>
      <c r="G38" s="209">
        <f>IF(ROUND(SUM('PR-RAS'!D710:D712),2)&gt;ROUND('PR-RAS'!D117,2),1,0)</f>
        <v>0</v>
      </c>
      <c r="H38" s="209">
        <f>IF(ROUND(SUM('PR-RAS'!E710:E712),2)&gt;ROUND('PR-RAS'!E117,2),1,0)</f>
        <v>0</v>
      </c>
      <c r="I38" s="209"/>
      <c r="J38" s="209"/>
      <c r="K38" s="209"/>
      <c r="L38" s="209"/>
      <c r="M38" s="209"/>
      <c r="N38" s="209"/>
      <c r="O38" s="209"/>
      <c r="P38" s="209"/>
    </row>
    <row r="39" spans="1:16" ht="15" customHeight="1" x14ac:dyDescent="0.2">
      <c r="A39" s="74">
        <v>240</v>
      </c>
      <c r="B39" s="75" t="str">
        <f t="shared" si="2"/>
        <v>O.K.</v>
      </c>
      <c r="C39" s="250" t="s">
        <v>3072</v>
      </c>
      <c r="D39" s="73"/>
      <c r="E39" s="209">
        <f t="shared" si="3"/>
        <v>0</v>
      </c>
      <c r="F39" s="209">
        <f t="shared" si="4"/>
        <v>0</v>
      </c>
      <c r="G39" s="209">
        <f>IF(ABS('PR-RAS'!D132-SUM('PR-RAS'!D713:D715))&gt;0.001,1,0)</f>
        <v>0</v>
      </c>
      <c r="H39" s="209">
        <f>IF(ABS('PR-RAS'!E132-SUM('PR-RAS'!E713:E715))&gt;0.001,1,0)</f>
        <v>0</v>
      </c>
      <c r="I39" s="209"/>
      <c r="J39" s="209"/>
      <c r="K39" s="209"/>
      <c r="L39" s="209"/>
      <c r="M39" s="209"/>
      <c r="N39" s="209"/>
      <c r="O39" s="209"/>
      <c r="P39" s="209"/>
    </row>
    <row r="40" spans="1:16" ht="15" customHeight="1" x14ac:dyDescent="0.2">
      <c r="A40" s="74">
        <v>17</v>
      </c>
      <c r="B40" s="75" t="str">
        <f t="shared" si="2"/>
        <v>O.K.</v>
      </c>
      <c r="C40" s="250" t="s">
        <v>3073</v>
      </c>
      <c r="D40" s="73"/>
      <c r="E40" s="209">
        <f t="shared" si="3"/>
        <v>0</v>
      </c>
      <c r="F40" s="209">
        <f t="shared" si="4"/>
        <v>0</v>
      </c>
      <c r="G40" s="209">
        <f>IF(ROUND('PR-RAS'!D716+'PR-RAS'!D717,2)&gt;ROUND('PR-RAS'!D158,2),1,0)</f>
        <v>0</v>
      </c>
      <c r="H40" s="209">
        <f>IF(ROUND('PR-RAS'!E716+'PR-RAS'!E717,2)&gt;ROUND('PR-RAS'!E158,2),1,0)</f>
        <v>0</v>
      </c>
      <c r="I40" s="209"/>
      <c r="J40" s="209"/>
      <c r="K40" s="209"/>
      <c r="L40" s="209"/>
      <c r="M40" s="209"/>
      <c r="N40" s="209"/>
      <c r="O40" s="209"/>
      <c r="P40" s="209"/>
    </row>
    <row r="41" spans="1:16" ht="15" customHeight="1" x14ac:dyDescent="0.2">
      <c r="A41" s="74">
        <v>18</v>
      </c>
      <c r="B41" s="75" t="str">
        <f t="shared" si="2"/>
        <v>O.K.</v>
      </c>
      <c r="C41" s="250" t="s">
        <v>3074</v>
      </c>
      <c r="D41" s="73"/>
      <c r="E41" s="209">
        <f t="shared" si="3"/>
        <v>0</v>
      </c>
      <c r="F41" s="209">
        <f t="shared" si="4"/>
        <v>0</v>
      </c>
      <c r="G41" s="209">
        <f>IF(ROUND('PR-RAS'!D718,2)&gt;ROUND('PR-RAS'!D166,2),1,0)</f>
        <v>0</v>
      </c>
      <c r="H41" s="209">
        <f>IF(ROUND('PR-RAS'!E718,2)&gt;ROUND('PR-RAS'!E166,2),1,0)</f>
        <v>0</v>
      </c>
      <c r="I41" s="209"/>
      <c r="J41" s="209"/>
      <c r="K41" s="209"/>
      <c r="L41" s="209"/>
      <c r="M41" s="209"/>
      <c r="N41" s="209"/>
      <c r="O41" s="209"/>
      <c r="P41" s="209"/>
    </row>
    <row r="42" spans="1:16" ht="15" customHeight="1" x14ac:dyDescent="0.2">
      <c r="A42" s="74">
        <v>19</v>
      </c>
      <c r="B42" s="75" t="str">
        <f t="shared" si="2"/>
        <v>O.K.</v>
      </c>
      <c r="C42" s="250" t="s">
        <v>3075</v>
      </c>
      <c r="D42" s="73"/>
      <c r="E42" s="209">
        <f t="shared" si="3"/>
        <v>0</v>
      </c>
      <c r="F42" s="209">
        <f t="shared" si="4"/>
        <v>0</v>
      </c>
      <c r="G42" s="209">
        <f>IF(ROUND('PR-RAS'!D719,2)&gt;ROUND('PR-RAS'!D182,2),1,0)</f>
        <v>0</v>
      </c>
      <c r="H42" s="209">
        <f>IF(ROUND('PR-RAS'!E719,2)&gt;ROUND('PR-RAS'!E182,2),1,0)</f>
        <v>0</v>
      </c>
      <c r="I42" s="209"/>
      <c r="J42" s="209"/>
      <c r="K42" s="209"/>
      <c r="L42" s="209"/>
      <c r="M42" s="209"/>
      <c r="N42" s="209"/>
      <c r="O42" s="209"/>
      <c r="P42" s="209"/>
    </row>
    <row r="43" spans="1:16" ht="15" customHeight="1" x14ac:dyDescent="0.2">
      <c r="A43" s="74">
        <v>20</v>
      </c>
      <c r="B43" s="75" t="str">
        <f t="shared" si="2"/>
        <v>O.K.</v>
      </c>
      <c r="C43" s="250" t="s">
        <v>3076</v>
      </c>
      <c r="D43" s="73"/>
      <c r="E43" s="209">
        <f t="shared" si="3"/>
        <v>0</v>
      </c>
      <c r="F43" s="209">
        <f t="shared" si="4"/>
        <v>0</v>
      </c>
      <c r="G43" s="209">
        <f>IF(ROUND('PR-RAS'!D720,2)&gt;ROUND('PR-RAS'!D183,2),1,0)</f>
        <v>0</v>
      </c>
      <c r="H43" s="209">
        <f>IF(ROUND('PR-RAS'!E720,2)&gt;ROUND('PR-RAS'!E183,2),1,0)</f>
        <v>0</v>
      </c>
      <c r="I43" s="209"/>
      <c r="J43" s="209"/>
      <c r="K43" s="209"/>
      <c r="L43" s="209"/>
      <c r="M43" s="209"/>
      <c r="N43" s="209"/>
      <c r="O43" s="209"/>
      <c r="P43" s="209"/>
    </row>
    <row r="44" spans="1:16" ht="15" customHeight="1" x14ac:dyDescent="0.2">
      <c r="A44" s="74">
        <v>21</v>
      </c>
      <c r="B44" s="75" t="str">
        <f t="shared" si="2"/>
        <v>O.K.</v>
      </c>
      <c r="C44" s="250" t="s">
        <v>3077</v>
      </c>
      <c r="D44" s="73"/>
      <c r="E44" s="209">
        <f t="shared" si="3"/>
        <v>0</v>
      </c>
      <c r="F44" s="209">
        <f t="shared" si="4"/>
        <v>0</v>
      </c>
      <c r="G44" s="209">
        <f>IF(ROUND(SUM('PR-RAS'!D721:D723),2)&gt;ROUND('PR-RAS'!D184,2),1,0)</f>
        <v>0</v>
      </c>
      <c r="H44" s="209">
        <f>IF(ROUND(SUM('PR-RAS'!E721:E723),2)&gt;ROUND('PR-RAS'!E184,2),1,0)</f>
        <v>0</v>
      </c>
      <c r="I44" s="209"/>
      <c r="J44" s="209"/>
      <c r="K44" s="209"/>
      <c r="L44" s="209"/>
      <c r="M44" s="209"/>
      <c r="N44" s="209"/>
      <c r="O44" s="209"/>
      <c r="P44" s="209"/>
    </row>
    <row r="45" spans="1:16" ht="15" customHeight="1" x14ac:dyDescent="0.2">
      <c r="A45" s="74">
        <v>22</v>
      </c>
      <c r="B45" s="75" t="str">
        <f t="shared" si="2"/>
        <v>O.K.</v>
      </c>
      <c r="C45" s="250" t="s">
        <v>3078</v>
      </c>
      <c r="D45" s="73"/>
      <c r="E45" s="209">
        <f t="shared" si="3"/>
        <v>0</v>
      </c>
      <c r="F45" s="209">
        <f t="shared" si="4"/>
        <v>0</v>
      </c>
      <c r="G45" s="209">
        <f>IF(ROUND('PR-RAS'!D724,2)&gt;ROUND('PR-RAS'!D186,2),1,0)</f>
        <v>0</v>
      </c>
      <c r="H45" s="209">
        <f>IF(ROUND('PR-RAS'!E724,2)&gt;ROUND('PR-RAS'!E186,2),1,0)</f>
        <v>0</v>
      </c>
      <c r="I45" s="209"/>
      <c r="J45" s="209"/>
      <c r="K45" s="209"/>
      <c r="L45" s="209"/>
      <c r="M45" s="209"/>
      <c r="N45" s="209"/>
      <c r="O45" s="209"/>
      <c r="P45" s="209"/>
    </row>
    <row r="46" spans="1:16" ht="15" customHeight="1" x14ac:dyDescent="0.2">
      <c r="A46" s="74">
        <v>23</v>
      </c>
      <c r="B46" s="75" t="str">
        <f t="shared" si="2"/>
        <v>O.K.</v>
      </c>
      <c r="C46" s="250" t="s">
        <v>3079</v>
      </c>
      <c r="D46" s="73"/>
      <c r="E46" s="209">
        <f t="shared" si="3"/>
        <v>0</v>
      </c>
      <c r="F46" s="209">
        <f t="shared" si="4"/>
        <v>0</v>
      </c>
      <c r="G46" s="209">
        <f>IF(ROUND('PR-RAS'!D725,2)&gt;ROUND('PR-RAS'!D189,2),1,0)</f>
        <v>0</v>
      </c>
      <c r="H46" s="209">
        <f>IF(ROUND('PR-RAS'!E725,2)&gt;ROUND('PR-RAS'!E189,2),1,0)</f>
        <v>0</v>
      </c>
      <c r="I46" s="209"/>
      <c r="J46" s="209"/>
      <c r="K46" s="209"/>
      <c r="L46" s="209"/>
      <c r="M46" s="209"/>
      <c r="N46" s="209"/>
      <c r="O46" s="209"/>
      <c r="P46" s="209"/>
    </row>
    <row r="47" spans="1:16" ht="15" customHeight="1" x14ac:dyDescent="0.2">
      <c r="A47" s="74">
        <v>24</v>
      </c>
      <c r="B47" s="75" t="str">
        <f t="shared" si="2"/>
        <v>O.K.</v>
      </c>
      <c r="C47" s="250" t="s">
        <v>3080</v>
      </c>
      <c r="D47" s="73"/>
      <c r="E47" s="209">
        <f t="shared" si="3"/>
        <v>0</v>
      </c>
      <c r="F47" s="209">
        <f t="shared" si="4"/>
        <v>0</v>
      </c>
      <c r="G47" s="209">
        <f>IF(ROUND('PR-RAS'!D726,2)&gt;ROUND('PR-RAS'!D190,2),1,0)</f>
        <v>0</v>
      </c>
      <c r="H47" s="209">
        <f>IF(ROUND('PR-RAS'!E726,2)&gt;ROUND('PR-RAS'!E190,2),1,0)</f>
        <v>0</v>
      </c>
      <c r="I47" s="209"/>
      <c r="J47" s="209"/>
      <c r="K47" s="209"/>
      <c r="L47" s="209"/>
      <c r="M47" s="209"/>
      <c r="N47" s="209"/>
      <c r="O47" s="209"/>
      <c r="P47" s="209"/>
    </row>
    <row r="48" spans="1:16" ht="15" customHeight="1" x14ac:dyDescent="0.2">
      <c r="A48" s="74">
        <v>25</v>
      </c>
      <c r="B48" s="75" t="str">
        <f t="shared" si="2"/>
        <v>O.K.</v>
      </c>
      <c r="C48" s="250" t="s">
        <v>3081</v>
      </c>
      <c r="D48" s="73"/>
      <c r="E48" s="209">
        <f t="shared" si="3"/>
        <v>0</v>
      </c>
      <c r="F48" s="209">
        <f t="shared" si="4"/>
        <v>0</v>
      </c>
      <c r="G48" s="209">
        <f>IF(ABS('PR-RAS'!D727+'PR-RAS'!D728-'PR-RAS'!D198)&gt;0.001,1,0)</f>
        <v>0</v>
      </c>
      <c r="H48" s="209">
        <f>IF(ABS('PR-RAS'!E727+'PR-RAS'!E728-'PR-RAS'!E198)&gt;0.001,1,0)</f>
        <v>0</v>
      </c>
      <c r="I48" s="209"/>
      <c r="J48" s="209"/>
      <c r="K48" s="209"/>
      <c r="L48" s="209"/>
      <c r="M48" s="209"/>
      <c r="N48" s="209"/>
      <c r="O48" s="209"/>
      <c r="P48" s="209"/>
    </row>
    <row r="49" spans="1:16" ht="15" customHeight="1" x14ac:dyDescent="0.2">
      <c r="A49" s="74">
        <v>26</v>
      </c>
      <c r="B49" s="75" t="str">
        <f t="shared" si="2"/>
        <v>O.K.</v>
      </c>
      <c r="C49" s="250" t="s">
        <v>3082</v>
      </c>
      <c r="D49" s="73"/>
      <c r="E49" s="209">
        <f t="shared" si="3"/>
        <v>0</v>
      </c>
      <c r="F49" s="209">
        <f t="shared" si="4"/>
        <v>0</v>
      </c>
      <c r="G49" s="209">
        <f>IF(ABS('PR-RAS'!D729+'PR-RAS'!D730-'PR-RAS'!D199)&gt;0.001,1,0)</f>
        <v>0</v>
      </c>
      <c r="H49" s="209">
        <f>IF(ABS('PR-RAS'!E729+'PR-RAS'!E730-'PR-RAS'!E199)&gt;0.001,1,0)</f>
        <v>0</v>
      </c>
      <c r="I49" s="209"/>
      <c r="J49" s="209"/>
      <c r="K49" s="209"/>
      <c r="L49" s="209"/>
      <c r="M49" s="209"/>
      <c r="N49" s="209"/>
      <c r="O49" s="209"/>
      <c r="P49" s="209"/>
    </row>
    <row r="50" spans="1:16" ht="15" customHeight="1" x14ac:dyDescent="0.2">
      <c r="A50" s="74">
        <v>27</v>
      </c>
      <c r="B50" s="75" t="str">
        <f t="shared" si="2"/>
        <v>O.K.</v>
      </c>
      <c r="C50" s="250" t="s">
        <v>3083</v>
      </c>
      <c r="D50" s="73"/>
      <c r="E50" s="209">
        <f t="shared" si="3"/>
        <v>0</v>
      </c>
      <c r="F50" s="209">
        <f t="shared" si="4"/>
        <v>0</v>
      </c>
      <c r="G50" s="209">
        <f>IF(ABS('PR-RAS'!D731+'PR-RAS'!D732-'PR-RAS'!D200)&gt;0.001,1,0)</f>
        <v>0</v>
      </c>
      <c r="H50" s="209">
        <f>IF(ABS('PR-RAS'!E731+'PR-RAS'!E732-'PR-RAS'!E200)&gt;0.001,1,0)</f>
        <v>0</v>
      </c>
      <c r="I50" s="209"/>
      <c r="J50" s="209"/>
      <c r="K50" s="209"/>
      <c r="L50" s="209"/>
      <c r="M50" s="209"/>
      <c r="N50" s="209"/>
      <c r="O50" s="209"/>
      <c r="P50" s="209"/>
    </row>
    <row r="51" spans="1:16" ht="15" customHeight="1" x14ac:dyDescent="0.2">
      <c r="A51" s="74">
        <v>28</v>
      </c>
      <c r="B51" s="75" t="str">
        <f t="shared" si="2"/>
        <v>O.K.</v>
      </c>
      <c r="C51" s="250" t="s">
        <v>3084</v>
      </c>
      <c r="D51" s="73"/>
      <c r="E51" s="209">
        <f t="shared" si="3"/>
        <v>0</v>
      </c>
      <c r="F51" s="209">
        <f t="shared" si="4"/>
        <v>0</v>
      </c>
      <c r="G51" s="209">
        <f>IF(ABS('PR-RAS'!D733+'PR-RAS'!D734-'PR-RAS'!D201)&gt;0.001,1,0)</f>
        <v>0</v>
      </c>
      <c r="H51" s="209">
        <f>IF(ABS('PR-RAS'!E733+'PR-RAS'!E734-'PR-RAS'!E201)&gt;0.001,1,0)</f>
        <v>0</v>
      </c>
      <c r="I51" s="209"/>
      <c r="J51" s="209"/>
      <c r="K51" s="209"/>
      <c r="L51" s="209"/>
      <c r="M51" s="209"/>
      <c r="N51" s="209"/>
      <c r="O51" s="209"/>
      <c r="P51" s="209"/>
    </row>
    <row r="52" spans="1:16" ht="15" customHeight="1" x14ac:dyDescent="0.2">
      <c r="A52" s="74">
        <v>29</v>
      </c>
      <c r="B52" s="75" t="str">
        <f t="shared" si="2"/>
        <v>O.K.</v>
      </c>
      <c r="C52" s="250" t="s">
        <v>3085</v>
      </c>
      <c r="D52" s="73"/>
      <c r="E52" s="209">
        <f t="shared" si="3"/>
        <v>0</v>
      </c>
      <c r="F52" s="209">
        <f t="shared" si="4"/>
        <v>0</v>
      </c>
      <c r="G52" s="209">
        <f>IF(ABS('PR-RAS'!D203-SUM('PR-RAS'!D735:D738))&gt;0.001,1,0)</f>
        <v>0</v>
      </c>
      <c r="H52" s="209">
        <f>IF(ABS('PR-RAS'!E203-SUM('PR-RAS'!E735:E738))&gt;0.001,1,0)</f>
        <v>0</v>
      </c>
      <c r="I52" s="209"/>
      <c r="J52" s="209"/>
      <c r="K52" s="209"/>
      <c r="L52" s="209"/>
      <c r="M52" s="209"/>
      <c r="N52" s="209"/>
      <c r="O52" s="209"/>
      <c r="P52" s="209"/>
    </row>
    <row r="53" spans="1:16" ht="15" customHeight="1" x14ac:dyDescent="0.2">
      <c r="A53" s="74">
        <v>30</v>
      </c>
      <c r="B53" s="75" t="str">
        <f t="shared" si="2"/>
        <v>O.K.</v>
      </c>
      <c r="C53" s="250" t="s">
        <v>3086</v>
      </c>
      <c r="D53" s="73"/>
      <c r="E53" s="209">
        <f t="shared" si="3"/>
        <v>0</v>
      </c>
      <c r="F53" s="209">
        <f t="shared" si="4"/>
        <v>0</v>
      </c>
      <c r="G53" s="209">
        <f>IF(ABS('PR-RAS'!D204-SUM('PR-RAS'!D739:D741))&gt;0.001,1,0)</f>
        <v>0</v>
      </c>
      <c r="H53" s="209">
        <f>IF(ABS('PR-RAS'!E204-SUM('PR-RAS'!E739:E741))&gt;0.001,1,0)</f>
        <v>0</v>
      </c>
      <c r="I53" s="209"/>
      <c r="J53" s="209"/>
      <c r="K53" s="209"/>
      <c r="L53" s="209"/>
      <c r="M53" s="209"/>
      <c r="N53" s="209"/>
      <c r="O53" s="209"/>
      <c r="P53" s="209"/>
    </row>
    <row r="54" spans="1:16" ht="15" customHeight="1" x14ac:dyDescent="0.2">
      <c r="A54" s="74">
        <v>31</v>
      </c>
      <c r="B54" s="75" t="str">
        <f t="shared" si="2"/>
        <v>O.K.</v>
      </c>
      <c r="C54" s="250" t="s">
        <v>3087</v>
      </c>
      <c r="D54" s="73"/>
      <c r="E54" s="209">
        <f t="shared" si="3"/>
        <v>0</v>
      </c>
      <c r="F54" s="209">
        <f t="shared" si="4"/>
        <v>0</v>
      </c>
      <c r="G54" s="209">
        <f>IF(ABS('PR-RAS'!D205-SUM('PR-RAS'!D742:D747))&gt;0.001,1,0)</f>
        <v>0</v>
      </c>
      <c r="H54" s="209">
        <f>IF(ABS('PR-RAS'!E205-SUM('PR-RAS'!E742:E747))&gt;0.001,1,0)</f>
        <v>0</v>
      </c>
      <c r="I54" s="209"/>
      <c r="J54" s="209"/>
      <c r="K54" s="209"/>
      <c r="L54" s="209"/>
      <c r="M54" s="209"/>
      <c r="N54" s="209"/>
      <c r="O54" s="209"/>
      <c r="P54" s="209"/>
    </row>
    <row r="55" spans="1:16" ht="15" customHeight="1" x14ac:dyDescent="0.2">
      <c r="A55" s="74">
        <v>32</v>
      </c>
      <c r="B55" s="75" t="str">
        <f t="shared" si="2"/>
        <v>O.K.</v>
      </c>
      <c r="C55" s="250" t="s">
        <v>3088</v>
      </c>
      <c r="D55" s="73"/>
      <c r="E55" s="209">
        <f t="shared" si="3"/>
        <v>0</v>
      </c>
      <c r="F55" s="209">
        <f t="shared" si="4"/>
        <v>0</v>
      </c>
      <c r="G55" s="209">
        <f>IF(ROUND(SUM('PR-RAS'!D748:D750),2)&gt;ROUND('PR-RAS'!D208,2),1,0)</f>
        <v>0</v>
      </c>
      <c r="H55" s="209">
        <f>IF(ROUND(SUM('PR-RAS'!E748:E750),2)&gt;ROUND('PR-RAS'!E208,2),1,0)</f>
        <v>0</v>
      </c>
      <c r="I55" s="209"/>
      <c r="J55" s="209"/>
      <c r="K55" s="209"/>
      <c r="L55" s="209"/>
      <c r="M55" s="209"/>
      <c r="N55" s="209"/>
      <c r="O55" s="209"/>
      <c r="P55" s="209"/>
    </row>
    <row r="56" spans="1:16" ht="15" customHeight="1" x14ac:dyDescent="0.2">
      <c r="A56" s="74">
        <v>33</v>
      </c>
      <c r="B56" s="75" t="str">
        <f t="shared" si="2"/>
        <v>O.K.</v>
      </c>
      <c r="C56" s="250" t="s">
        <v>3089</v>
      </c>
      <c r="D56" s="73"/>
      <c r="E56" s="209">
        <f t="shared" si="3"/>
        <v>0</v>
      </c>
      <c r="F56" s="209">
        <f t="shared" si="4"/>
        <v>0</v>
      </c>
      <c r="G56" s="209">
        <f>IF(ABS('PR-RAS'!D209-SUM('PR-RAS'!D751:D757))&gt;0.001,1,0)</f>
        <v>0</v>
      </c>
      <c r="H56" s="209">
        <f>IF(ABS('PR-RAS'!E209-SUM('PR-RAS'!E751:E757))&gt;0.001,1,0)</f>
        <v>0</v>
      </c>
      <c r="I56" s="209"/>
      <c r="J56" s="209"/>
      <c r="K56" s="209"/>
      <c r="L56" s="209"/>
      <c r="M56" s="209"/>
      <c r="N56" s="209"/>
      <c r="O56" s="209"/>
      <c r="P56" s="209"/>
    </row>
    <row r="57" spans="1:16" ht="15" customHeight="1" x14ac:dyDescent="0.2">
      <c r="A57" s="74">
        <v>34</v>
      </c>
      <c r="B57" s="75" t="str">
        <f t="shared" si="2"/>
        <v>O.K.</v>
      </c>
      <c r="C57" s="250" t="s">
        <v>3090</v>
      </c>
      <c r="D57" s="73"/>
      <c r="E57" s="209">
        <f t="shared" si="3"/>
        <v>0</v>
      </c>
      <c r="F57" s="209">
        <f t="shared" si="4"/>
        <v>0</v>
      </c>
      <c r="G57" s="209">
        <f>IF(ROUND('PR-RAS'!D758,2)&gt;ROUND('PR-RAS'!D214,2),1,0)</f>
        <v>0</v>
      </c>
      <c r="H57" s="209">
        <f>IF(ROUND('PR-RAS'!E758,2)&gt;ROUND('PR-RAS'!E214,2),1,0)</f>
        <v>0</v>
      </c>
      <c r="I57" s="209"/>
      <c r="J57" s="209"/>
      <c r="K57" s="209"/>
      <c r="L57" s="209"/>
      <c r="M57" s="209"/>
      <c r="N57" s="209"/>
      <c r="O57" s="209"/>
      <c r="P57" s="209"/>
    </row>
    <row r="58" spans="1:16" ht="15" customHeight="1" x14ac:dyDescent="0.2">
      <c r="A58" s="74">
        <v>35</v>
      </c>
      <c r="B58" s="75" t="str">
        <f t="shared" si="2"/>
        <v>O.K.</v>
      </c>
      <c r="C58" s="250" t="s">
        <v>3091</v>
      </c>
      <c r="D58" s="73"/>
      <c r="E58" s="209">
        <f t="shared" si="3"/>
        <v>0</v>
      </c>
      <c r="F58" s="209">
        <f t="shared" si="4"/>
        <v>0</v>
      </c>
      <c r="G58" s="209">
        <f>IF(ABS('PR-RAS'!D222-'PR-RAS'!D759-'PR-RAS'!D760)&gt;0.001,1,0)</f>
        <v>0</v>
      </c>
      <c r="H58" s="209">
        <f>IF(ABS('PR-RAS'!E222-'PR-RAS'!E759-'PR-RAS'!E760)&gt;0.001,1,0)</f>
        <v>0</v>
      </c>
      <c r="I58" s="209"/>
      <c r="J58" s="209"/>
      <c r="K58" s="209"/>
      <c r="L58" s="209"/>
      <c r="M58" s="209"/>
      <c r="N58" s="209"/>
      <c r="O58" s="209"/>
      <c r="P58" s="209"/>
    </row>
    <row r="59" spans="1:16" ht="15" customHeight="1" x14ac:dyDescent="0.2">
      <c r="A59" s="74">
        <v>36</v>
      </c>
      <c r="B59" s="75" t="str">
        <f t="shared" si="2"/>
        <v>O.K.</v>
      </c>
      <c r="C59" s="250" t="s">
        <v>3092</v>
      </c>
      <c r="D59" s="73"/>
      <c r="E59" s="209">
        <f t="shared" si="3"/>
        <v>0</v>
      </c>
      <c r="F59" s="209">
        <f t="shared" si="4"/>
        <v>0</v>
      </c>
      <c r="G59" s="209">
        <f>IF(ABS('PR-RAS'!D232-SUM('PR-RAS'!D761:D767))&gt;0.001,1,0)</f>
        <v>0</v>
      </c>
      <c r="H59" s="209">
        <f>IF(ABS('PR-RAS'!E232-SUM('PR-RAS'!E761:E767))&gt;0.001,1,0)</f>
        <v>0</v>
      </c>
      <c r="I59" s="209"/>
      <c r="J59" s="209"/>
      <c r="K59" s="209"/>
      <c r="L59" s="209"/>
      <c r="M59" s="209"/>
      <c r="N59" s="209"/>
      <c r="O59" s="209"/>
      <c r="P59" s="209"/>
    </row>
    <row r="60" spans="1:16" ht="15" customHeight="1" x14ac:dyDescent="0.2">
      <c r="A60" s="74">
        <v>37</v>
      </c>
      <c r="B60" s="75" t="str">
        <f t="shared" si="2"/>
        <v>O.K.</v>
      </c>
      <c r="C60" s="250" t="s">
        <v>3093</v>
      </c>
      <c r="D60" s="73"/>
      <c r="E60" s="209">
        <f t="shared" si="3"/>
        <v>0</v>
      </c>
      <c r="F60" s="209">
        <f t="shared" si="4"/>
        <v>0</v>
      </c>
      <c r="G60" s="209">
        <f>IF(ABS('PR-RAS'!D233-SUM('PR-RAS'!D768:D774))&gt;0.001,1,0)</f>
        <v>0</v>
      </c>
      <c r="H60" s="209">
        <f>IF(ABS('PR-RAS'!E233-SUM('PR-RAS'!E768:E774))&gt;0.001,1,0)</f>
        <v>0</v>
      </c>
      <c r="I60" s="209"/>
      <c r="J60" s="209"/>
      <c r="K60" s="209"/>
      <c r="L60" s="209"/>
      <c r="M60" s="209"/>
      <c r="N60" s="209"/>
      <c r="O60" s="209"/>
      <c r="P60" s="209"/>
    </row>
    <row r="61" spans="1:16" ht="15" customHeight="1" x14ac:dyDescent="0.2">
      <c r="A61" s="74">
        <v>241</v>
      </c>
      <c r="B61" s="75" t="str">
        <f t="shared" si="2"/>
        <v>O.K.</v>
      </c>
      <c r="C61" s="250" t="s">
        <v>3094</v>
      </c>
      <c r="D61" s="73"/>
      <c r="E61" s="209">
        <f t="shared" si="3"/>
        <v>0</v>
      </c>
      <c r="F61" s="209">
        <f t="shared" si="4"/>
        <v>0</v>
      </c>
      <c r="G61" s="209">
        <f>IF(ABS('PR-RAS'!D234-SUM('PR-RAS'!D775:D780))&gt;0.001,1,0)</f>
        <v>0</v>
      </c>
      <c r="H61" s="209">
        <f>IF(ABS('PR-RAS'!E234-SUM('PR-RAS'!E775:E780))&gt;0.001,1,0)</f>
        <v>0</v>
      </c>
      <c r="I61" s="209"/>
      <c r="J61" s="209"/>
      <c r="K61" s="209"/>
      <c r="L61" s="209"/>
      <c r="M61" s="209"/>
      <c r="N61" s="209"/>
      <c r="O61" s="209"/>
      <c r="P61" s="209"/>
    </row>
    <row r="62" spans="1:16" ht="15" customHeight="1" x14ac:dyDescent="0.2">
      <c r="A62" s="74">
        <v>242</v>
      </c>
      <c r="B62" s="75" t="str">
        <f t="shared" si="2"/>
        <v>O.K.</v>
      </c>
      <c r="C62" s="250" t="s">
        <v>3095</v>
      </c>
      <c r="D62" s="73"/>
      <c r="E62" s="209">
        <f t="shared" si="3"/>
        <v>0</v>
      </c>
      <c r="F62" s="209">
        <f t="shared" si="4"/>
        <v>0</v>
      </c>
      <c r="G62" s="209">
        <f>IF(ABS('PR-RAS'!D235-SUM('PR-RAS'!D781:D787))&gt;0.001,1,0)</f>
        <v>0</v>
      </c>
      <c r="H62" s="209">
        <f>IF(ABS('PR-RAS'!E235-SUM('PR-RAS'!E781:E787))&gt;0.001,1,0)</f>
        <v>0</v>
      </c>
      <c r="I62" s="209"/>
      <c r="J62" s="209"/>
      <c r="K62" s="209"/>
      <c r="L62" s="209"/>
      <c r="M62" s="209"/>
      <c r="N62" s="209"/>
      <c r="O62" s="209"/>
      <c r="P62" s="209"/>
    </row>
    <row r="63" spans="1:16" ht="15" customHeight="1" x14ac:dyDescent="0.2">
      <c r="A63" s="74">
        <v>243</v>
      </c>
      <c r="B63" s="75" t="str">
        <f t="shared" si="2"/>
        <v>O.K.</v>
      </c>
      <c r="C63" s="250" t="s">
        <v>3096</v>
      </c>
      <c r="D63" s="73"/>
      <c r="E63" s="209">
        <f t="shared" si="3"/>
        <v>0</v>
      </c>
      <c r="F63" s="209">
        <f t="shared" si="4"/>
        <v>0</v>
      </c>
      <c r="G63" s="209">
        <f>IF(ABS('PR-RAS'!D239-SUM('PR-RAS'!D788:D789))&gt;0.001,1,0)</f>
        <v>0</v>
      </c>
      <c r="H63" s="209">
        <f>IF(ABS('PR-RAS'!E239-SUM('PR-RAS'!E788:E789))&gt;0.001,1,0)</f>
        <v>0</v>
      </c>
      <c r="I63" s="209"/>
      <c r="J63" s="209"/>
      <c r="K63" s="209"/>
      <c r="L63" s="209"/>
      <c r="M63" s="209"/>
      <c r="N63" s="209"/>
      <c r="O63" s="209"/>
      <c r="P63" s="209"/>
    </row>
    <row r="64" spans="1:16" ht="15" customHeight="1" x14ac:dyDescent="0.2">
      <c r="A64" s="74">
        <v>38</v>
      </c>
      <c r="B64" s="75" t="str">
        <f t="shared" si="2"/>
        <v>O.K.</v>
      </c>
      <c r="C64" s="250" t="s">
        <v>3097</v>
      </c>
      <c r="D64" s="73"/>
      <c r="E64" s="209">
        <f t="shared" si="3"/>
        <v>0</v>
      </c>
      <c r="F64" s="209">
        <f t="shared" si="4"/>
        <v>0</v>
      </c>
      <c r="G64" s="209">
        <f>IF(ABS('PR-RAS'!D245-SUM('PR-RAS'!D790:D798))&gt;0.001,1,0)</f>
        <v>0</v>
      </c>
      <c r="H64" s="209">
        <f>IF(ABS('PR-RAS'!E245-SUM('PR-RAS'!E790:E798))&gt;0.001,1,0)</f>
        <v>0</v>
      </c>
      <c r="I64" s="209"/>
      <c r="J64" s="209"/>
      <c r="K64" s="209"/>
      <c r="L64" s="209"/>
      <c r="M64" s="209"/>
      <c r="N64" s="209"/>
      <c r="O64" s="209"/>
      <c r="P64" s="209"/>
    </row>
    <row r="65" spans="1:16" ht="15" customHeight="1" x14ac:dyDescent="0.2">
      <c r="A65" s="74">
        <v>39</v>
      </c>
      <c r="B65" s="75" t="str">
        <f t="shared" si="2"/>
        <v>O.K.</v>
      </c>
      <c r="C65" s="250" t="s">
        <v>3098</v>
      </c>
      <c r="D65" s="73"/>
      <c r="E65" s="209">
        <f t="shared" si="3"/>
        <v>0</v>
      </c>
      <c r="F65" s="209">
        <f t="shared" si="4"/>
        <v>0</v>
      </c>
      <c r="G65" s="209">
        <f>IF(ABS('PR-RAS'!D246-SUM('PR-RAS'!D799:D807))&gt;0.001,1,0)</f>
        <v>0</v>
      </c>
      <c r="H65" s="209">
        <f>IF(ABS('PR-RAS'!E246-SUM('PR-RAS'!E799:E807))&gt;0.001,1,0)</f>
        <v>0</v>
      </c>
      <c r="I65" s="209"/>
      <c r="J65" s="209"/>
      <c r="K65" s="209"/>
      <c r="L65" s="209"/>
      <c r="M65" s="209"/>
      <c r="N65" s="209"/>
      <c r="O65" s="209"/>
      <c r="P65" s="209"/>
    </row>
    <row r="66" spans="1:16" ht="15" customHeight="1" x14ac:dyDescent="0.2">
      <c r="A66" s="74">
        <v>40</v>
      </c>
      <c r="B66" s="75" t="str">
        <f t="shared" si="2"/>
        <v>O.K.</v>
      </c>
      <c r="C66" s="250" t="s">
        <v>3099</v>
      </c>
      <c r="D66" s="73"/>
      <c r="E66" s="209">
        <f t="shared" si="3"/>
        <v>0</v>
      </c>
      <c r="F66" s="209">
        <f t="shared" si="4"/>
        <v>0</v>
      </c>
      <c r="G66" s="209">
        <f>IF(ABS('PR-RAS'!D256-SUM('PR-RAS'!D808:D810))&gt;0.001,1,0)</f>
        <v>0</v>
      </c>
      <c r="H66" s="209">
        <f>IF(ABS('PR-RAS'!E256-SUM('PR-RAS'!E808:E810))&gt;0.001,1,0)</f>
        <v>0</v>
      </c>
      <c r="I66" s="209"/>
      <c r="J66" s="209"/>
      <c r="K66" s="209"/>
      <c r="L66" s="209"/>
      <c r="M66" s="209"/>
      <c r="N66" s="209"/>
      <c r="O66" s="209"/>
      <c r="P66" s="209"/>
    </row>
    <row r="67" spans="1:16" ht="15" customHeight="1" x14ac:dyDescent="0.2">
      <c r="A67" s="74">
        <v>41</v>
      </c>
      <c r="B67" s="75" t="str">
        <f t="shared" si="2"/>
        <v>O.K.</v>
      </c>
      <c r="C67" s="250" t="s">
        <v>3100</v>
      </c>
      <c r="D67" s="73"/>
      <c r="E67" s="209">
        <f t="shared" si="3"/>
        <v>0</v>
      </c>
      <c r="F67" s="209">
        <f t="shared" si="4"/>
        <v>0</v>
      </c>
      <c r="G67" s="209">
        <f>IF(ABS('PR-RAS'!D257-SUM('PR-RAS'!D811:D814))&gt;0.001,1,0)</f>
        <v>0</v>
      </c>
      <c r="H67" s="209">
        <f>IF(ABS('PR-RAS'!E257-SUM('PR-RAS'!E811:E814))&gt;0.001,1,0)</f>
        <v>0</v>
      </c>
      <c r="I67" s="209"/>
      <c r="J67" s="209"/>
      <c r="K67" s="209"/>
      <c r="L67" s="209"/>
      <c r="M67" s="209"/>
      <c r="N67" s="209"/>
      <c r="O67" s="209"/>
      <c r="P67" s="209"/>
    </row>
    <row r="68" spans="1:16" ht="15" customHeight="1" x14ac:dyDescent="0.2">
      <c r="A68" s="74">
        <v>42</v>
      </c>
      <c r="B68" s="75" t="str">
        <f t="shared" si="2"/>
        <v>O.K.</v>
      </c>
      <c r="C68" s="250" t="s">
        <v>3101</v>
      </c>
      <c r="D68" s="73"/>
      <c r="E68" s="209">
        <f t="shared" si="3"/>
        <v>0</v>
      </c>
      <c r="F68" s="209">
        <f t="shared" si="4"/>
        <v>0</v>
      </c>
      <c r="G68" s="209">
        <f>IF(ABS('PR-RAS'!D260-SUM('PR-RAS'!D815:D823))&gt;0.001,1,0)</f>
        <v>0</v>
      </c>
      <c r="H68" s="209">
        <f>IF(ABS('PR-RAS'!E260-SUM('PR-RAS'!E815:E823))&gt;0.001,1,0)</f>
        <v>0</v>
      </c>
      <c r="I68" s="209"/>
      <c r="J68" s="209"/>
      <c r="K68" s="209"/>
      <c r="L68" s="209"/>
      <c r="M68" s="209"/>
      <c r="N68" s="209"/>
      <c r="O68" s="209"/>
      <c r="P68" s="209"/>
    </row>
    <row r="69" spans="1:16" ht="15" customHeight="1" x14ac:dyDescent="0.2">
      <c r="A69" s="74">
        <v>43</v>
      </c>
      <c r="B69" s="75" t="str">
        <f t="shared" si="2"/>
        <v>O.K.</v>
      </c>
      <c r="C69" s="250" t="s">
        <v>3102</v>
      </c>
      <c r="D69" s="73"/>
      <c r="E69" s="209">
        <f t="shared" si="3"/>
        <v>0</v>
      </c>
      <c r="F69" s="209">
        <f t="shared" si="4"/>
        <v>0</v>
      </c>
      <c r="G69" s="209">
        <f>IF(ABS('PR-RAS'!D261-SUM('PR-RAS'!D824:D828))&gt;0.001,1,0)</f>
        <v>0</v>
      </c>
      <c r="H69" s="209">
        <f>IF(ABS('PR-RAS'!E261-SUM('PR-RAS'!E824:E828))&gt;0.001,1,0)</f>
        <v>0</v>
      </c>
      <c r="I69" s="209"/>
      <c r="J69" s="209"/>
      <c r="K69" s="209"/>
      <c r="L69" s="209"/>
      <c r="M69" s="209"/>
      <c r="N69" s="209"/>
      <c r="O69" s="209"/>
      <c r="P69" s="209"/>
    </row>
    <row r="70" spans="1:16" ht="15" customHeight="1" x14ac:dyDescent="0.2">
      <c r="A70" s="74">
        <v>44</v>
      </c>
      <c r="B70" s="75" t="str">
        <f t="shared" si="2"/>
        <v>O.K.</v>
      </c>
      <c r="C70" s="250" t="s">
        <v>3103</v>
      </c>
      <c r="D70" s="73"/>
      <c r="E70" s="209">
        <f t="shared" si="3"/>
        <v>0</v>
      </c>
      <c r="F70" s="209">
        <f t="shared" si="4"/>
        <v>0</v>
      </c>
      <c r="G70" s="209">
        <f>IF(ROUND('PR-RAS'!D829,2)&gt;ROUND('PR-RAS'!D265,2),1,0)</f>
        <v>0</v>
      </c>
      <c r="H70" s="209">
        <f>IF(ROUND('PR-RAS'!E829,2)&gt;ROUND('PR-RAS'!E265,2),1,0)</f>
        <v>0</v>
      </c>
      <c r="I70" s="209"/>
      <c r="J70" s="209"/>
      <c r="K70" s="209"/>
      <c r="L70" s="209"/>
      <c r="M70" s="209"/>
      <c r="N70" s="209"/>
      <c r="O70" s="209"/>
      <c r="P70" s="209"/>
    </row>
    <row r="71" spans="1:16" ht="15" customHeight="1" x14ac:dyDescent="0.2">
      <c r="A71" s="74">
        <v>45</v>
      </c>
      <c r="B71" s="75" t="str">
        <f t="shared" si="2"/>
        <v>O.K.</v>
      </c>
      <c r="C71" s="250" t="s">
        <v>3104</v>
      </c>
      <c r="D71" s="73"/>
      <c r="E71" s="209">
        <f t="shared" si="3"/>
        <v>0</v>
      </c>
      <c r="F71" s="209">
        <f t="shared" si="4"/>
        <v>0</v>
      </c>
      <c r="G71" s="209">
        <f>IF(ABS('PR-RAS'!D280-SUM('PR-RAS'!D830:D833))&gt;0.001,1,0)</f>
        <v>0</v>
      </c>
      <c r="H71" s="209">
        <f>IF(ABS('PR-RAS'!E280-SUM('PR-RAS'!E830:E833))&gt;0.001,1,0)</f>
        <v>0</v>
      </c>
      <c r="I71" s="209"/>
      <c r="J71" s="209"/>
      <c r="K71" s="209"/>
      <c r="L71" s="209"/>
      <c r="M71" s="209"/>
      <c r="N71" s="209"/>
      <c r="O71" s="209"/>
      <c r="P71" s="209"/>
    </row>
    <row r="72" spans="1:16" ht="15" customHeight="1" x14ac:dyDescent="0.2">
      <c r="A72" s="74">
        <v>46</v>
      </c>
      <c r="B72" s="75" t="str">
        <f t="shared" si="2"/>
        <v>O.K.</v>
      </c>
      <c r="C72" s="250" t="s">
        <v>3105</v>
      </c>
      <c r="D72" s="73"/>
      <c r="E72" s="209">
        <f t="shared" si="3"/>
        <v>0</v>
      </c>
      <c r="F72" s="209">
        <f t="shared" si="4"/>
        <v>0</v>
      </c>
      <c r="G72" s="209">
        <f>IF(ABS('PR-RAS'!D281-SUM('PR-RAS'!D834:D838))&gt;0.001,1,0)</f>
        <v>0</v>
      </c>
      <c r="H72" s="209">
        <f>IF(ABS('PR-RAS'!E281-SUM('PR-RAS'!E834:E838))&gt;0.001,1,0)</f>
        <v>0</v>
      </c>
      <c r="I72" s="209"/>
      <c r="J72" s="209"/>
      <c r="K72" s="209"/>
      <c r="L72" s="209"/>
      <c r="M72" s="209"/>
      <c r="N72" s="209"/>
      <c r="O72" s="209"/>
      <c r="P72" s="209"/>
    </row>
    <row r="73" spans="1:16" ht="15" customHeight="1" x14ac:dyDescent="0.2">
      <c r="A73" s="74">
        <v>47</v>
      </c>
      <c r="B73" s="75" t="str">
        <f t="shared" si="2"/>
        <v>O.K.</v>
      </c>
      <c r="C73" s="250" t="s">
        <v>3106</v>
      </c>
      <c r="D73" s="73"/>
      <c r="E73" s="209">
        <f t="shared" si="3"/>
        <v>0</v>
      </c>
      <c r="F73" s="209">
        <f t="shared" si="4"/>
        <v>0</v>
      </c>
      <c r="G73" s="209">
        <f>IF(ABS('PR-RAS'!D282-SUM('PR-RAS'!D839:D840))&gt;0.001,1,0)</f>
        <v>0</v>
      </c>
      <c r="H73" s="209">
        <f>IF(ABS('PR-RAS'!E282-SUM('PR-RAS'!E839:E840))&gt;0.001,1,0)</f>
        <v>0</v>
      </c>
      <c r="I73" s="209"/>
      <c r="J73" s="209"/>
      <c r="K73" s="209"/>
      <c r="L73" s="209"/>
      <c r="M73" s="209"/>
      <c r="N73" s="209"/>
      <c r="O73" s="209"/>
      <c r="P73" s="209"/>
    </row>
    <row r="74" spans="1:16" ht="15" customHeight="1" x14ac:dyDescent="0.2">
      <c r="A74" s="74">
        <v>48</v>
      </c>
      <c r="B74" s="75" t="str">
        <f t="shared" si="2"/>
        <v>O.K.</v>
      </c>
      <c r="C74" s="250" t="s">
        <v>3107</v>
      </c>
      <c r="D74" s="73"/>
      <c r="E74" s="209">
        <f t="shared" si="3"/>
        <v>0</v>
      </c>
      <c r="F74" s="209">
        <f t="shared" si="4"/>
        <v>0</v>
      </c>
      <c r="G74" s="209">
        <f>IF(ABS('PR-RAS'!D283-SUM('PR-RAS'!D841:D842))&gt;0.001,1,0)</f>
        <v>0</v>
      </c>
      <c r="H74" s="209">
        <f>IF(ABS('PR-RAS'!E283-SUM('PR-RAS'!E841:E842))&gt;0.001,1,0)</f>
        <v>0</v>
      </c>
      <c r="I74" s="209"/>
      <c r="J74" s="209"/>
      <c r="K74" s="209"/>
      <c r="L74" s="209"/>
      <c r="M74" s="209"/>
      <c r="N74" s="209"/>
      <c r="O74" s="209"/>
      <c r="P74" s="209"/>
    </row>
    <row r="75" spans="1:16" ht="15" customHeight="1" x14ac:dyDescent="0.2">
      <c r="A75" s="74">
        <v>244</v>
      </c>
      <c r="B75" s="75" t="str">
        <f t="shared" si="2"/>
        <v>O.K.</v>
      </c>
      <c r="C75" s="250" t="s">
        <v>3108</v>
      </c>
      <c r="D75" s="73"/>
      <c r="E75" s="209">
        <f t="shared" si="3"/>
        <v>0</v>
      </c>
      <c r="F75" s="209">
        <f t="shared" si="4"/>
        <v>0</v>
      </c>
      <c r="G75" s="209">
        <f>IF(ABS('PR-RAS'!D284-SUM('PR-RAS'!D843:D845))&gt;0.001,1,0)</f>
        <v>0</v>
      </c>
      <c r="H75" s="209">
        <f>IF(ABS('PR-RAS'!E284-SUM('PR-RAS'!E843:E845))&gt;0.001,1,0)</f>
        <v>0</v>
      </c>
      <c r="I75" s="209"/>
      <c r="J75" s="209"/>
      <c r="K75" s="209"/>
      <c r="L75" s="209"/>
      <c r="M75" s="209"/>
      <c r="N75" s="209"/>
      <c r="O75" s="209"/>
      <c r="P75" s="209"/>
    </row>
    <row r="76" spans="1:16" ht="15" customHeight="1" x14ac:dyDescent="0.2">
      <c r="A76" s="74">
        <v>49</v>
      </c>
      <c r="B76" s="75" t="str">
        <f t="shared" si="2"/>
        <v>O.K.</v>
      </c>
      <c r="C76" s="251" t="s">
        <v>3109</v>
      </c>
      <c r="D76" s="73"/>
      <c r="E76" s="209">
        <f t="shared" si="3"/>
        <v>0</v>
      </c>
      <c r="F76" s="209">
        <f t="shared" si="4"/>
        <v>0</v>
      </c>
      <c r="G76" s="209">
        <f>IF(ROUND('PR-RAS'!D846,2)&gt;ROUND('PR-RAS'!D428,2),1,0)</f>
        <v>0</v>
      </c>
      <c r="H76" s="209">
        <f>IF(ROUND('PR-RAS'!E846,2)&gt;ROUND('PR-RAS'!E428,2),1,0)</f>
        <v>0</v>
      </c>
      <c r="I76" s="209"/>
      <c r="J76" s="209"/>
      <c r="K76" s="209"/>
      <c r="L76" s="209"/>
      <c r="M76" s="209"/>
      <c r="N76" s="209"/>
      <c r="O76" s="209"/>
      <c r="P76" s="209"/>
    </row>
    <row r="77" spans="1:16" ht="15" customHeight="1" x14ac:dyDescent="0.2">
      <c r="A77" s="74">
        <v>50</v>
      </c>
      <c r="B77" s="75" t="str">
        <f t="shared" si="2"/>
        <v>O.K.</v>
      </c>
      <c r="C77" s="251" t="s">
        <v>3110</v>
      </c>
      <c r="D77" s="73"/>
      <c r="E77" s="209">
        <f t="shared" si="3"/>
        <v>0</v>
      </c>
      <c r="F77" s="209">
        <f t="shared" si="4"/>
        <v>0</v>
      </c>
      <c r="G77" s="209">
        <f>IF(ROUND('PR-RAS'!D847,2)&gt;ROUND('PR-RAS'!D431,2),1,0)</f>
        <v>0</v>
      </c>
      <c r="H77" s="209">
        <f>IF(ROUND('PR-RAS'!E847,2)&gt;ROUND('PR-RAS'!E431,2),1,0)</f>
        <v>0</v>
      </c>
      <c r="I77" s="209"/>
      <c r="J77" s="209"/>
      <c r="K77" s="209"/>
      <c r="L77" s="209"/>
      <c r="M77" s="209"/>
      <c r="N77" s="209"/>
      <c r="O77" s="209"/>
      <c r="P77" s="209"/>
    </row>
    <row r="78" spans="1:16" ht="15" customHeight="1" x14ac:dyDescent="0.2">
      <c r="A78" s="74">
        <v>51</v>
      </c>
      <c r="B78" s="75" t="str">
        <f t="shared" si="2"/>
        <v>O.K.</v>
      </c>
      <c r="C78" s="251" t="s">
        <v>3111</v>
      </c>
      <c r="D78" s="73"/>
      <c r="E78" s="209">
        <f t="shared" si="3"/>
        <v>0</v>
      </c>
      <c r="F78" s="209">
        <f t="shared" si="4"/>
        <v>0</v>
      </c>
      <c r="G78" s="209">
        <f>IF(ROUND('PR-RAS'!D848,2)&gt;ROUND('PR-RAS'!D432,2),1,0)</f>
        <v>0</v>
      </c>
      <c r="H78" s="209">
        <f>IF(ROUND('PR-RAS'!E848,2)&gt;ROUND('PR-RAS'!E432,2),1,0)</f>
        <v>0</v>
      </c>
      <c r="I78" s="209"/>
      <c r="J78" s="209"/>
      <c r="K78" s="209"/>
      <c r="L78" s="209"/>
      <c r="M78" s="209"/>
      <c r="N78" s="209"/>
      <c r="O78" s="209"/>
      <c r="P78" s="209"/>
    </row>
    <row r="79" spans="1:16" ht="15" customHeight="1" x14ac:dyDescent="0.2">
      <c r="A79" s="74">
        <v>52</v>
      </c>
      <c r="B79" s="75" t="str">
        <f t="shared" si="2"/>
        <v>O.K.</v>
      </c>
      <c r="C79" s="251" t="s">
        <v>3112</v>
      </c>
      <c r="D79" s="73"/>
      <c r="E79" s="209">
        <f t="shared" si="3"/>
        <v>0</v>
      </c>
      <c r="F79" s="209">
        <f t="shared" si="4"/>
        <v>0</v>
      </c>
      <c r="G79" s="209">
        <f>IF(ROUND('PR-RAS'!D849,2)&gt;ROUND('PR-RAS'!D433,2),1,0)</f>
        <v>0</v>
      </c>
      <c r="H79" s="209">
        <f>IF(ROUND('PR-RAS'!E849,2)&gt;ROUND('PR-RAS'!E433,2),1,0)</f>
        <v>0</v>
      </c>
      <c r="I79" s="209"/>
      <c r="J79" s="209"/>
      <c r="K79" s="209"/>
      <c r="L79" s="209"/>
      <c r="M79" s="209"/>
      <c r="N79" s="209"/>
      <c r="O79" s="209"/>
      <c r="P79" s="209"/>
    </row>
    <row r="80" spans="1:16" ht="15" customHeight="1" x14ac:dyDescent="0.2">
      <c r="A80" s="74">
        <v>53</v>
      </c>
      <c r="B80" s="75" t="str">
        <f t="shared" si="2"/>
        <v>O.K.</v>
      </c>
      <c r="C80" s="251" t="s">
        <v>3113</v>
      </c>
      <c r="D80" s="73"/>
      <c r="E80" s="209">
        <f t="shared" si="3"/>
        <v>0</v>
      </c>
      <c r="F80" s="209">
        <f t="shared" si="4"/>
        <v>0</v>
      </c>
      <c r="G80" s="209">
        <f>IF(ABS('PR-RAS'!D434-SUM('PR-RAS'!D850:D851))&gt;0.001,1,0)</f>
        <v>0</v>
      </c>
      <c r="H80" s="209">
        <f>IF(ABS('PR-RAS'!E434-SUM('PR-RAS'!E850:E851))&gt;0.001,1,0)</f>
        <v>0</v>
      </c>
      <c r="I80" s="209"/>
      <c r="J80" s="209"/>
      <c r="K80" s="209"/>
      <c r="L80" s="209"/>
      <c r="M80" s="209"/>
      <c r="N80" s="209"/>
      <c r="O80" s="209"/>
      <c r="P80" s="209"/>
    </row>
    <row r="81" spans="1:16" ht="15" customHeight="1" x14ac:dyDescent="0.2">
      <c r="A81" s="74">
        <v>54</v>
      </c>
      <c r="B81" s="75" t="str">
        <f t="shared" si="2"/>
        <v>O.K.</v>
      </c>
      <c r="C81" s="251" t="s">
        <v>3114</v>
      </c>
      <c r="D81" s="73"/>
      <c r="E81" s="209">
        <f t="shared" si="3"/>
        <v>0</v>
      </c>
      <c r="F81" s="209">
        <f t="shared" si="4"/>
        <v>0</v>
      </c>
      <c r="G81" s="209">
        <f>IF(ROUND('PR-RAS'!D852,2)&gt;ROUND('PR-RAS'!D436,2),1,0)</f>
        <v>0</v>
      </c>
      <c r="H81" s="209">
        <f>IF(ROUND('PR-RAS'!E852,2)&gt;ROUND('PR-RAS'!E436,2),1,0)</f>
        <v>0</v>
      </c>
      <c r="I81" s="209"/>
      <c r="J81" s="209"/>
      <c r="K81" s="209"/>
      <c r="L81" s="209"/>
      <c r="M81" s="209"/>
      <c r="N81" s="209"/>
      <c r="O81" s="209"/>
      <c r="P81" s="209"/>
    </row>
    <row r="82" spans="1:16" ht="15" customHeight="1" x14ac:dyDescent="0.2">
      <c r="A82" s="74">
        <v>55</v>
      </c>
      <c r="B82" s="75" t="str">
        <f t="shared" si="2"/>
        <v>O.K.</v>
      </c>
      <c r="C82" s="251" t="s">
        <v>3115</v>
      </c>
      <c r="D82" s="73"/>
      <c r="E82" s="209">
        <f t="shared" si="3"/>
        <v>0</v>
      </c>
      <c r="F82" s="209">
        <f t="shared" si="4"/>
        <v>0</v>
      </c>
      <c r="G82" s="209">
        <f>IF(ROUND('PR-RAS'!D853,2)&gt;ROUND('PR-RAS'!D437,2),1,0)</f>
        <v>0</v>
      </c>
      <c r="H82" s="209">
        <f>IF(ROUND('PR-RAS'!E853,2)&gt;ROUND('PR-RAS'!E437,2),1,0)</f>
        <v>0</v>
      </c>
      <c r="I82" s="209"/>
      <c r="J82" s="209"/>
      <c r="K82" s="209"/>
      <c r="L82" s="209"/>
      <c r="M82" s="209"/>
      <c r="N82" s="209"/>
      <c r="O82" s="209"/>
      <c r="P82" s="209"/>
    </row>
    <row r="83" spans="1:16" ht="15" customHeight="1" x14ac:dyDescent="0.2">
      <c r="A83" s="74">
        <v>56</v>
      </c>
      <c r="B83" s="75" t="str">
        <f t="shared" si="2"/>
        <v>O.K.</v>
      </c>
      <c r="C83" s="251" t="s">
        <v>3116</v>
      </c>
      <c r="D83" s="73"/>
      <c r="E83" s="209">
        <f t="shared" si="3"/>
        <v>0</v>
      </c>
      <c r="F83" s="209">
        <f t="shared" si="4"/>
        <v>0</v>
      </c>
      <c r="G83" s="209">
        <f>IF(ROUND('PR-RAS'!D854,2)&gt;ROUND('PR-RAS'!D438,2),1,0)</f>
        <v>0</v>
      </c>
      <c r="H83" s="209">
        <f>IF(ROUND('PR-RAS'!E854,2)&gt;ROUND('PR-RAS'!E438,2),1,0)</f>
        <v>0</v>
      </c>
      <c r="I83" s="209"/>
      <c r="J83" s="209"/>
      <c r="K83" s="209"/>
      <c r="L83" s="209"/>
      <c r="M83" s="209"/>
      <c r="N83" s="209"/>
      <c r="O83" s="209"/>
      <c r="P83" s="209"/>
    </row>
    <row r="84" spans="1:16" ht="15" customHeight="1" x14ac:dyDescent="0.2">
      <c r="A84" s="74">
        <v>57</v>
      </c>
      <c r="B84" s="75" t="str">
        <f t="shared" si="2"/>
        <v>O.K.</v>
      </c>
      <c r="C84" s="251" t="s">
        <v>3117</v>
      </c>
      <c r="D84" s="73"/>
      <c r="E84" s="209">
        <f t="shared" si="3"/>
        <v>0</v>
      </c>
      <c r="F84" s="209">
        <f t="shared" si="4"/>
        <v>0</v>
      </c>
      <c r="G84" s="209">
        <f>IF(ABS('PR-RAS'!D443-SUM('PR-RAS'!D855:D856))&gt;0.001,1,0)</f>
        <v>0</v>
      </c>
      <c r="H84" s="209">
        <f>IF(ABS('PR-RAS'!E443-SUM('PR-RAS'!E855:E856))&gt;0.001,1,0)</f>
        <v>0</v>
      </c>
      <c r="I84" s="209"/>
      <c r="J84" s="209"/>
      <c r="K84" s="209"/>
      <c r="L84" s="209"/>
      <c r="M84" s="209"/>
      <c r="N84" s="209"/>
      <c r="O84" s="209"/>
      <c r="P84" s="209"/>
    </row>
    <row r="85" spans="1:16" ht="15" customHeight="1" x14ac:dyDescent="0.2">
      <c r="A85" s="74">
        <v>58</v>
      </c>
      <c r="B85" s="75" t="str">
        <f t="shared" ref="B85:B148" si="5">IF(E85=1,"Pogreška",IF(F85=1,"Provjera","O.K."))</f>
        <v>O.K.</v>
      </c>
      <c r="C85" s="251" t="s">
        <v>3118</v>
      </c>
      <c r="D85" s="73"/>
      <c r="E85" s="209">
        <f t="shared" ref="E85:E148" si="6">MAX(G85:K85)</f>
        <v>0</v>
      </c>
      <c r="F85" s="209">
        <f t="shared" ref="F85:F148" si="7">MAX(L85:O85)</f>
        <v>0</v>
      </c>
      <c r="G85" s="209">
        <f>IF(ABS('PR-RAS'!D444-SUM('PR-RAS'!D857:D858))&gt;0.001,1,0)</f>
        <v>0</v>
      </c>
      <c r="H85" s="209">
        <f>IF(ABS('PR-RAS'!E444-SUM('PR-RAS'!E857:E858))&gt;0.001,1,0)</f>
        <v>0</v>
      </c>
      <c r="I85" s="209"/>
      <c r="J85" s="209"/>
      <c r="K85" s="209"/>
      <c r="L85" s="209"/>
      <c r="M85" s="209"/>
      <c r="N85" s="209"/>
      <c r="O85" s="209"/>
      <c r="P85" s="209"/>
    </row>
    <row r="86" spans="1:16" ht="15" customHeight="1" x14ac:dyDescent="0.2">
      <c r="A86" s="74">
        <v>59</v>
      </c>
      <c r="B86" s="75" t="str">
        <f t="shared" si="5"/>
        <v>O.K.</v>
      </c>
      <c r="C86" s="250" t="s">
        <v>3119</v>
      </c>
      <c r="D86" s="73"/>
      <c r="E86" s="209">
        <f t="shared" si="6"/>
        <v>0</v>
      </c>
      <c r="F86" s="209">
        <f t="shared" si="7"/>
        <v>0</v>
      </c>
      <c r="G86" s="209">
        <f>IF(ABS('PR-RAS'!D448-SUM('PR-RAS'!D859:D860))&gt;0.001,1,0)</f>
        <v>0</v>
      </c>
      <c r="H86" s="209">
        <f>IF(ABS('PR-RAS'!E448-SUM('PR-RAS'!E859:E860))&gt;0.001,1,0)</f>
        <v>0</v>
      </c>
      <c r="I86" s="209"/>
      <c r="J86" s="209"/>
      <c r="K86" s="209"/>
      <c r="L86" s="209"/>
      <c r="M86" s="209"/>
      <c r="N86" s="209"/>
      <c r="O86" s="209"/>
      <c r="P86" s="209"/>
    </row>
    <row r="87" spans="1:16" ht="15" customHeight="1" x14ac:dyDescent="0.2">
      <c r="A87" s="74">
        <v>60</v>
      </c>
      <c r="B87" s="75" t="str">
        <f t="shared" si="5"/>
        <v>O.K.</v>
      </c>
      <c r="C87" s="251" t="s">
        <v>3120</v>
      </c>
      <c r="D87" s="73"/>
      <c r="E87" s="209">
        <f t="shared" si="6"/>
        <v>0</v>
      </c>
      <c r="F87" s="209">
        <f t="shared" si="7"/>
        <v>0</v>
      </c>
      <c r="G87" s="209">
        <f>IF(ABS('PR-RAS'!D449-SUM('PR-RAS'!D861:D862))&gt;0.001,1,0)</f>
        <v>0</v>
      </c>
      <c r="H87" s="209">
        <f>IF(ABS('PR-RAS'!E449-SUM('PR-RAS'!E861:E862))&gt;0.001,1,0)</f>
        <v>0</v>
      </c>
      <c r="I87" s="209"/>
      <c r="J87" s="209"/>
      <c r="K87" s="209"/>
      <c r="L87" s="209"/>
      <c r="M87" s="209"/>
      <c r="N87" s="209"/>
      <c r="O87" s="209"/>
      <c r="P87" s="209"/>
    </row>
    <row r="88" spans="1:16" ht="15" customHeight="1" x14ac:dyDescent="0.2">
      <c r="A88" s="74">
        <v>61</v>
      </c>
      <c r="B88" s="75" t="str">
        <f t="shared" si="5"/>
        <v>O.K.</v>
      </c>
      <c r="C88" s="251" t="s">
        <v>3121</v>
      </c>
      <c r="D88" s="73"/>
      <c r="E88" s="209">
        <f t="shared" si="6"/>
        <v>0</v>
      </c>
      <c r="F88" s="209">
        <f t="shared" si="7"/>
        <v>0</v>
      </c>
      <c r="G88" s="209">
        <f>IF(ABS('PR-RAS'!D450-SUM('PR-RAS'!D863:D864))&gt;0.001,1,0)</f>
        <v>0</v>
      </c>
      <c r="H88" s="209">
        <f>IF(ABS('PR-RAS'!E450-SUM('PR-RAS'!E863:E864))&gt;0.001,1,0)</f>
        <v>0</v>
      </c>
      <c r="I88" s="209"/>
      <c r="J88" s="209"/>
      <c r="K88" s="209"/>
      <c r="L88" s="209"/>
      <c r="M88" s="209"/>
      <c r="N88" s="209"/>
      <c r="O88" s="209"/>
      <c r="P88" s="209"/>
    </row>
    <row r="89" spans="1:16" ht="15" customHeight="1" x14ac:dyDescent="0.2">
      <c r="A89" s="74">
        <v>62</v>
      </c>
      <c r="B89" s="75" t="str">
        <f t="shared" si="5"/>
        <v>O.K.</v>
      </c>
      <c r="C89" s="251" t="s">
        <v>3122</v>
      </c>
      <c r="D89" s="73"/>
      <c r="E89" s="209">
        <f t="shared" si="6"/>
        <v>0</v>
      </c>
      <c r="F89" s="209">
        <f t="shared" si="7"/>
        <v>0</v>
      </c>
      <c r="G89" s="209">
        <f>IF(ABS('PR-RAS'!D451-SUM('PR-RAS'!D865:D866))&gt;0.001,1,0)</f>
        <v>0</v>
      </c>
      <c r="H89" s="209">
        <f>IF(ABS('PR-RAS'!E451-SUM('PR-RAS'!E865:E866))&gt;0.001,1,0)</f>
        <v>0</v>
      </c>
      <c r="I89" s="209"/>
      <c r="J89" s="209"/>
      <c r="K89" s="209"/>
      <c r="L89" s="209"/>
      <c r="M89" s="209"/>
      <c r="N89" s="209"/>
      <c r="O89" s="209"/>
      <c r="P89" s="209"/>
    </row>
    <row r="90" spans="1:16" ht="15" customHeight="1" x14ac:dyDescent="0.2">
      <c r="A90" s="74">
        <v>63</v>
      </c>
      <c r="B90" s="75" t="str">
        <f t="shared" si="5"/>
        <v>O.K.</v>
      </c>
      <c r="C90" s="251" t="s">
        <v>3123</v>
      </c>
      <c r="D90" s="73"/>
      <c r="E90" s="209">
        <f t="shared" si="6"/>
        <v>0</v>
      </c>
      <c r="F90" s="209">
        <f t="shared" si="7"/>
        <v>0</v>
      </c>
      <c r="G90" s="209">
        <f>IF(ABS('PR-RAS'!D452-SUM('PR-RAS'!D867:D868))&gt;0.001,1,0)</f>
        <v>0</v>
      </c>
      <c r="H90" s="209">
        <f>IF(ABS('PR-RAS'!E452-SUM('PR-RAS'!E867:E868))&gt;0.001,1,0)</f>
        <v>0</v>
      </c>
      <c r="I90" s="209"/>
      <c r="J90" s="209"/>
      <c r="K90" s="209"/>
      <c r="L90" s="209"/>
      <c r="M90" s="209"/>
      <c r="N90" s="209"/>
      <c r="O90" s="209"/>
      <c r="P90" s="209"/>
    </row>
    <row r="91" spans="1:16" ht="15" customHeight="1" x14ac:dyDescent="0.2">
      <c r="A91" s="74">
        <v>64</v>
      </c>
      <c r="B91" s="75" t="str">
        <f t="shared" si="5"/>
        <v>O.K.</v>
      </c>
      <c r="C91" s="251" t="s">
        <v>3124</v>
      </c>
      <c r="D91" s="73"/>
      <c r="E91" s="209">
        <f t="shared" si="6"/>
        <v>0</v>
      </c>
      <c r="F91" s="209">
        <f t="shared" si="7"/>
        <v>0</v>
      </c>
      <c r="G91" s="209">
        <f>IF(ABS('PR-RAS'!D453-SUM('PR-RAS'!D869:D870))&gt;0.001,1,0)</f>
        <v>0</v>
      </c>
      <c r="H91" s="209">
        <f>IF(ABS('PR-RAS'!E453-SUM('PR-RAS'!E869:E870))&gt;0.001,1,0)</f>
        <v>0</v>
      </c>
      <c r="I91" s="209"/>
      <c r="J91" s="209"/>
      <c r="K91" s="209"/>
      <c r="L91" s="209"/>
      <c r="M91" s="209"/>
      <c r="N91" s="209"/>
      <c r="O91" s="209"/>
      <c r="P91" s="209"/>
    </row>
    <row r="92" spans="1:16" ht="15" customHeight="1" x14ac:dyDescent="0.2">
      <c r="A92" s="74">
        <v>65</v>
      </c>
      <c r="B92" s="75" t="str">
        <f t="shared" si="5"/>
        <v>O.K.</v>
      </c>
      <c r="C92" s="251" t="s">
        <v>3125</v>
      </c>
      <c r="D92" s="73"/>
      <c r="E92" s="209">
        <f t="shared" si="6"/>
        <v>0</v>
      </c>
      <c r="F92" s="209">
        <f t="shared" si="7"/>
        <v>0</v>
      </c>
      <c r="G92" s="209">
        <f>IF(ABS('PR-RAS'!D454-SUM('PR-RAS'!D871:D872))&gt;0.001,1,0)</f>
        <v>0</v>
      </c>
      <c r="H92" s="209">
        <f>IF(ABS('PR-RAS'!E454-SUM('PR-RAS'!E871:E872))&gt;0.001,1,0)</f>
        <v>0</v>
      </c>
      <c r="I92" s="209"/>
      <c r="J92" s="209"/>
      <c r="K92" s="209"/>
      <c r="L92" s="209"/>
      <c r="M92" s="209"/>
      <c r="N92" s="209"/>
      <c r="O92" s="209"/>
      <c r="P92" s="209"/>
    </row>
    <row r="93" spans="1:16" ht="15" customHeight="1" x14ac:dyDescent="0.2">
      <c r="A93" s="74">
        <v>66</v>
      </c>
      <c r="B93" s="75" t="str">
        <f t="shared" si="5"/>
        <v>O.K.</v>
      </c>
      <c r="C93" s="250" t="s">
        <v>3126</v>
      </c>
      <c r="D93" s="73"/>
      <c r="E93" s="209">
        <f t="shared" si="6"/>
        <v>0</v>
      </c>
      <c r="F93" s="209">
        <f t="shared" si="7"/>
        <v>0</v>
      </c>
      <c r="G93" s="209">
        <f>IF(ROUND('PR-RAS'!D873,2)&gt;ROUND('PR-RAS'!D470,2),1,0)</f>
        <v>0</v>
      </c>
      <c r="H93" s="209">
        <f>IF(ROUND('PR-RAS'!E873,2)&gt;ROUND('PR-RAS'!E470,2),1,0)</f>
        <v>0</v>
      </c>
      <c r="I93" s="209"/>
      <c r="J93" s="209"/>
      <c r="K93" s="209"/>
      <c r="L93" s="209"/>
      <c r="M93" s="209"/>
      <c r="N93" s="209"/>
      <c r="O93" s="209"/>
      <c r="P93" s="209"/>
    </row>
    <row r="94" spans="1:16" ht="15" customHeight="1" x14ac:dyDescent="0.2">
      <c r="A94" s="74">
        <v>67</v>
      </c>
      <c r="B94" s="75" t="str">
        <f t="shared" si="5"/>
        <v>O.K.</v>
      </c>
      <c r="C94" s="250" t="s">
        <v>3127</v>
      </c>
      <c r="D94" s="73"/>
      <c r="E94" s="209">
        <f t="shared" si="6"/>
        <v>0</v>
      </c>
      <c r="F94" s="209">
        <f t="shared" si="7"/>
        <v>0</v>
      </c>
      <c r="G94" s="209">
        <f>IF(ROUND('PR-RAS'!D874,2)&gt;ROUND('PR-RAS'!D486,2),1,0)</f>
        <v>0</v>
      </c>
      <c r="H94" s="209">
        <f>IF(ROUND('PR-RAS'!E874,2)&gt;ROUND('PR-RAS'!E486,2),1,0)</f>
        <v>0</v>
      </c>
      <c r="I94" s="209"/>
      <c r="J94" s="209"/>
      <c r="K94" s="209"/>
      <c r="L94" s="209"/>
      <c r="M94" s="209"/>
      <c r="N94" s="209"/>
      <c r="O94" s="209"/>
      <c r="P94" s="209"/>
    </row>
    <row r="95" spans="1:16" ht="15" customHeight="1" x14ac:dyDescent="0.2">
      <c r="A95" s="74">
        <v>68</v>
      </c>
      <c r="B95" s="75" t="str">
        <f t="shared" si="5"/>
        <v>O.K.</v>
      </c>
      <c r="C95" s="250" t="s">
        <v>3128</v>
      </c>
      <c r="D95" s="73"/>
      <c r="E95" s="209">
        <f t="shared" si="6"/>
        <v>0</v>
      </c>
      <c r="F95" s="209">
        <f t="shared" si="7"/>
        <v>0</v>
      </c>
      <c r="G95" s="209">
        <f>IF(ROUND('PR-RAS'!D875,2)&gt;ROUND('PR-RAS'!D487,2),1,0)</f>
        <v>0</v>
      </c>
      <c r="H95" s="209">
        <f>IF(ROUND('PR-RAS'!E875,2)&gt;ROUND('PR-RAS'!E487,2),1,0)</f>
        <v>0</v>
      </c>
      <c r="I95" s="209"/>
      <c r="J95" s="209"/>
      <c r="K95" s="209"/>
      <c r="L95" s="209"/>
      <c r="M95" s="209"/>
      <c r="N95" s="209"/>
      <c r="O95" s="209"/>
      <c r="P95" s="209"/>
    </row>
    <row r="96" spans="1:16" ht="15" customHeight="1" x14ac:dyDescent="0.2">
      <c r="A96" s="74">
        <v>69</v>
      </c>
      <c r="B96" s="75" t="str">
        <f t="shared" si="5"/>
        <v>O.K.</v>
      </c>
      <c r="C96" s="250" t="s">
        <v>3129</v>
      </c>
      <c r="D96" s="73"/>
      <c r="E96" s="209">
        <f t="shared" si="6"/>
        <v>0</v>
      </c>
      <c r="F96" s="209">
        <f t="shared" si="7"/>
        <v>0</v>
      </c>
      <c r="G96" s="209">
        <f>IF(ROUND('PR-RAS'!D876,2)&gt;ROUND('PR-RAS'!D488,2),1,0)</f>
        <v>0</v>
      </c>
      <c r="H96" s="209">
        <f>IF(ROUND('PR-RAS'!E876,2)&gt;ROUND('PR-RAS'!E488,2),1,0)</f>
        <v>0</v>
      </c>
      <c r="I96" s="209"/>
      <c r="J96" s="209"/>
      <c r="K96" s="209"/>
      <c r="L96" s="209"/>
      <c r="M96" s="209"/>
      <c r="N96" s="209"/>
      <c r="O96" s="209"/>
      <c r="P96" s="209"/>
    </row>
    <row r="97" spans="1:16" ht="15" customHeight="1" x14ac:dyDescent="0.2">
      <c r="A97" s="74">
        <v>70</v>
      </c>
      <c r="B97" s="75" t="str">
        <f t="shared" si="5"/>
        <v>O.K.</v>
      </c>
      <c r="C97" s="250" t="s">
        <v>3130</v>
      </c>
      <c r="D97" s="73"/>
      <c r="E97" s="209">
        <f t="shared" si="6"/>
        <v>0</v>
      </c>
      <c r="F97" s="209">
        <f t="shared" si="7"/>
        <v>0</v>
      </c>
      <c r="G97" s="209">
        <f>IF(ROUND('PR-RAS'!D877,2)&gt;ROUND('PR-RAS'!D489,2),1,0)</f>
        <v>0</v>
      </c>
      <c r="H97" s="209">
        <f>IF(ROUND('PR-RAS'!E877,2)&gt;ROUND('PR-RAS'!E489,2),1,0)</f>
        <v>0</v>
      </c>
      <c r="I97" s="209"/>
      <c r="J97" s="209"/>
      <c r="K97" s="209"/>
      <c r="L97" s="209"/>
      <c r="M97" s="209"/>
      <c r="N97" s="209"/>
      <c r="O97" s="209"/>
      <c r="P97" s="209"/>
    </row>
    <row r="98" spans="1:16" ht="15" customHeight="1" x14ac:dyDescent="0.2">
      <c r="A98" s="74">
        <v>71</v>
      </c>
      <c r="B98" s="75" t="str">
        <f t="shared" si="5"/>
        <v>O.K.</v>
      </c>
      <c r="C98" s="250" t="s">
        <v>3131</v>
      </c>
      <c r="D98" s="73"/>
      <c r="E98" s="209">
        <f t="shared" si="6"/>
        <v>0</v>
      </c>
      <c r="F98" s="209">
        <f t="shared" si="7"/>
        <v>0</v>
      </c>
      <c r="G98" s="209">
        <f>IF(ROUND(SUM('PR-RAS'!D878:D880),2)&gt;ROUND('PR-RAS'!D491,2),1,0)</f>
        <v>0</v>
      </c>
      <c r="H98" s="209">
        <f>IF(ROUND(SUM('PR-RAS'!E878:E880),2)&gt;ROUND('PR-RAS'!E491,2),1,0)</f>
        <v>0</v>
      </c>
      <c r="I98" s="209"/>
      <c r="J98" s="209"/>
      <c r="K98" s="209"/>
      <c r="L98" s="209"/>
      <c r="M98" s="209"/>
      <c r="N98" s="209"/>
      <c r="O98" s="209"/>
      <c r="P98" s="209"/>
    </row>
    <row r="99" spans="1:16" ht="15" customHeight="1" x14ac:dyDescent="0.2">
      <c r="A99" s="74">
        <v>72</v>
      </c>
      <c r="B99" s="75" t="str">
        <f t="shared" si="5"/>
        <v>O.K.</v>
      </c>
      <c r="C99" s="250" t="s">
        <v>3132</v>
      </c>
      <c r="D99" s="73"/>
      <c r="E99" s="209">
        <f t="shared" si="6"/>
        <v>0</v>
      </c>
      <c r="F99" s="209">
        <f t="shared" si="7"/>
        <v>0</v>
      </c>
      <c r="G99" s="209">
        <f>IF(ROUND('PR-RAS'!D881,2)&gt;ROUND('PR-RAS'!D492,2),1,0)</f>
        <v>0</v>
      </c>
      <c r="H99" s="209">
        <f>IF(ROUND('PR-RAS'!E881,2)&gt;ROUND('PR-RAS'!E492,2),1,0)</f>
        <v>0</v>
      </c>
      <c r="I99" s="209"/>
      <c r="J99" s="209"/>
      <c r="K99" s="209"/>
      <c r="L99" s="209"/>
      <c r="M99" s="209"/>
      <c r="N99" s="209"/>
      <c r="O99" s="209"/>
      <c r="P99" s="209"/>
    </row>
    <row r="100" spans="1:16" ht="15" customHeight="1" x14ac:dyDescent="0.2">
      <c r="A100" s="74">
        <v>73</v>
      </c>
      <c r="B100" s="75" t="str">
        <f t="shared" si="5"/>
        <v>O.K.</v>
      </c>
      <c r="C100" s="250" t="s">
        <v>3133</v>
      </c>
      <c r="D100" s="73"/>
      <c r="E100" s="209">
        <f t="shared" si="6"/>
        <v>0</v>
      </c>
      <c r="F100" s="209">
        <f t="shared" si="7"/>
        <v>0</v>
      </c>
      <c r="G100" s="209">
        <f>IF(ROUND(SUM('PR-RAS'!D882:D883),2)&gt;ROUND('PR-RAS'!D493,2),1,0)</f>
        <v>0</v>
      </c>
      <c r="H100" s="209">
        <f>IF(ROUND(SUM('PR-RAS'!E882:E883),2)&gt;ROUND('PR-RAS'!E493,2),1,0)</f>
        <v>0</v>
      </c>
      <c r="I100" s="209"/>
      <c r="J100" s="209"/>
      <c r="K100" s="209"/>
      <c r="L100" s="209"/>
      <c r="M100" s="209"/>
      <c r="N100" s="209"/>
      <c r="O100" s="209"/>
      <c r="P100" s="209"/>
    </row>
    <row r="101" spans="1:16" ht="15" customHeight="1" x14ac:dyDescent="0.2">
      <c r="A101" s="74">
        <v>74</v>
      </c>
      <c r="B101" s="75" t="str">
        <f t="shared" si="5"/>
        <v>O.K.</v>
      </c>
      <c r="C101" s="250" t="s">
        <v>3134</v>
      </c>
      <c r="D101" s="73"/>
      <c r="E101" s="209">
        <f t="shared" si="6"/>
        <v>0</v>
      </c>
      <c r="F101" s="209">
        <f t="shared" si="7"/>
        <v>0</v>
      </c>
      <c r="G101" s="209">
        <f>IF(ROUND('PR-RAS'!D884,2)&gt;ROUND('PR-RAS'!D494,2),1,0)</f>
        <v>0</v>
      </c>
      <c r="H101" s="209">
        <f>IF(ROUND('PR-RAS'!E884,2)&gt;ROUND('PR-RAS'!E494,2),1,0)</f>
        <v>0</v>
      </c>
      <c r="I101" s="209"/>
      <c r="J101" s="209"/>
      <c r="K101" s="209"/>
      <c r="L101" s="209"/>
      <c r="M101" s="209"/>
      <c r="N101" s="209"/>
      <c r="O101" s="209"/>
      <c r="P101" s="209"/>
    </row>
    <row r="102" spans="1:16" ht="15" customHeight="1" x14ac:dyDescent="0.2">
      <c r="A102" s="74">
        <v>75</v>
      </c>
      <c r="B102" s="75" t="str">
        <f t="shared" si="5"/>
        <v>O.K.</v>
      </c>
      <c r="C102" s="250" t="s">
        <v>3135</v>
      </c>
      <c r="D102" s="73"/>
      <c r="E102" s="209">
        <f t="shared" si="6"/>
        <v>0</v>
      </c>
      <c r="F102" s="209">
        <f t="shared" si="7"/>
        <v>0</v>
      </c>
      <c r="G102" s="209">
        <f>IF(ROUND(SUM('PR-RAS'!D885:D887),2)&gt;ROUND('PR-RAS'!D496,2),1,0)</f>
        <v>0</v>
      </c>
      <c r="H102" s="209">
        <f>IF(ROUND(SUM('PR-RAS'!E885:E887),2)&gt;ROUND('PR-RAS'!E496,2),1,0)</f>
        <v>0</v>
      </c>
      <c r="I102" s="209"/>
      <c r="J102" s="209"/>
      <c r="K102" s="209"/>
      <c r="L102" s="209"/>
      <c r="M102" s="209"/>
      <c r="N102" s="209"/>
      <c r="O102" s="209"/>
      <c r="P102" s="209"/>
    </row>
    <row r="103" spans="1:16" ht="15" customHeight="1" x14ac:dyDescent="0.2">
      <c r="A103" s="74">
        <v>76</v>
      </c>
      <c r="B103" s="75" t="str">
        <f t="shared" si="5"/>
        <v>O.K.</v>
      </c>
      <c r="C103" s="250" t="s">
        <v>3136</v>
      </c>
      <c r="D103" s="73"/>
      <c r="E103" s="209">
        <f t="shared" si="6"/>
        <v>0</v>
      </c>
      <c r="F103" s="209">
        <f t="shared" si="7"/>
        <v>0</v>
      </c>
      <c r="G103" s="209">
        <f>IF(ROUND('PR-RAS'!D888,2)&gt;ROUND('PR-RAS'!D497,2),1,0)</f>
        <v>0</v>
      </c>
      <c r="H103" s="209">
        <f>IF(ROUND('PR-RAS'!E888,2)&gt;ROUND('PR-RAS'!E497,2),1,0)</f>
        <v>0</v>
      </c>
      <c r="I103" s="209"/>
      <c r="J103" s="209"/>
      <c r="K103" s="209"/>
      <c r="L103" s="209"/>
      <c r="M103" s="209"/>
      <c r="N103" s="209"/>
      <c r="O103" s="209"/>
      <c r="P103" s="209"/>
    </row>
    <row r="104" spans="1:16" ht="15" customHeight="1" x14ac:dyDescent="0.2">
      <c r="A104" s="74">
        <v>77</v>
      </c>
      <c r="B104" s="75" t="str">
        <f t="shared" si="5"/>
        <v>O.K.</v>
      </c>
      <c r="C104" s="250" t="s">
        <v>3137</v>
      </c>
      <c r="D104" s="73"/>
      <c r="E104" s="209">
        <f t="shared" si="6"/>
        <v>0</v>
      </c>
      <c r="F104" s="209">
        <f t="shared" si="7"/>
        <v>0</v>
      </c>
      <c r="G104" s="209">
        <f>IF(ROUND(SUM('PR-RAS'!D889:D890),2)&gt;ROUND('PR-RAS'!D498,2),1,0)</f>
        <v>0</v>
      </c>
      <c r="H104" s="209">
        <f>IF(ROUND(SUM('PR-RAS'!E889:E890),2)&gt;ROUND('PR-RAS'!E498,2),1,0)</f>
        <v>0</v>
      </c>
      <c r="I104" s="209"/>
      <c r="J104" s="209"/>
      <c r="K104" s="209"/>
      <c r="L104" s="209"/>
      <c r="M104" s="209"/>
      <c r="N104" s="209"/>
      <c r="O104" s="209"/>
      <c r="P104" s="209"/>
    </row>
    <row r="105" spans="1:16" ht="15" customHeight="1" x14ac:dyDescent="0.2">
      <c r="A105" s="74">
        <v>78</v>
      </c>
      <c r="B105" s="75" t="str">
        <f t="shared" si="5"/>
        <v>O.K.</v>
      </c>
      <c r="C105" s="250" t="s">
        <v>3138</v>
      </c>
      <c r="D105" s="73"/>
      <c r="E105" s="209">
        <f t="shared" si="6"/>
        <v>0</v>
      </c>
      <c r="F105" s="209">
        <f t="shared" si="7"/>
        <v>0</v>
      </c>
      <c r="G105" s="209">
        <f>IF(ROUND(SUM('PR-RAS'!D891:D893),2)&gt;ROUND('PR-RAS'!D499,2),1,0)</f>
        <v>0</v>
      </c>
      <c r="H105" s="209">
        <f>IF(ROUND(SUM('PR-RAS'!E891:E893),2)&gt;ROUND('PR-RAS'!E499,2),1,0)</f>
        <v>0</v>
      </c>
      <c r="I105" s="209"/>
      <c r="J105" s="209"/>
      <c r="K105" s="209"/>
      <c r="L105" s="209"/>
      <c r="M105" s="209"/>
      <c r="N105" s="209"/>
      <c r="O105" s="209"/>
      <c r="P105" s="209"/>
    </row>
    <row r="106" spans="1:16" ht="15" customHeight="1" x14ac:dyDescent="0.2">
      <c r="A106" s="74">
        <v>79</v>
      </c>
      <c r="B106" s="75" t="str">
        <f t="shared" si="5"/>
        <v>O.K.</v>
      </c>
      <c r="C106" s="250" t="s">
        <v>3139</v>
      </c>
      <c r="D106" s="73"/>
      <c r="E106" s="209">
        <f t="shared" si="6"/>
        <v>0</v>
      </c>
      <c r="F106" s="209">
        <f t="shared" si="7"/>
        <v>0</v>
      </c>
      <c r="G106" s="209">
        <f>IF(ROUND('PR-RAS'!D894,2)&gt;ROUND('PR-RAS'!D500,2),1,0)</f>
        <v>0</v>
      </c>
      <c r="H106" s="209">
        <f>IF(ROUND('PR-RAS'!E894,2)&gt;ROUND('PR-RAS'!E500,2),1,0)</f>
        <v>0</v>
      </c>
      <c r="I106" s="209"/>
      <c r="J106" s="209"/>
      <c r="K106" s="209"/>
      <c r="L106" s="209"/>
      <c r="M106" s="209"/>
      <c r="N106" s="209"/>
      <c r="O106" s="209"/>
      <c r="P106" s="209"/>
    </row>
    <row r="107" spans="1:16" ht="15" customHeight="1" x14ac:dyDescent="0.2">
      <c r="A107" s="74">
        <v>80</v>
      </c>
      <c r="B107" s="75" t="str">
        <f t="shared" si="5"/>
        <v>O.K.</v>
      </c>
      <c r="C107" s="250" t="s">
        <v>3140</v>
      </c>
      <c r="D107" s="73"/>
      <c r="E107" s="209">
        <f t="shared" si="6"/>
        <v>0</v>
      </c>
      <c r="F107" s="209">
        <f t="shared" si="7"/>
        <v>0</v>
      </c>
      <c r="G107" s="209">
        <f>IF(ROUND(SUM('PR-RAS'!D895:D896),2)&gt;ROUND('PR-RAS'!D501,2),1,0)</f>
        <v>0</v>
      </c>
      <c r="H107" s="209">
        <f>IF(ROUND(SUM('PR-RAS'!E895:E896),2)&gt;ROUND('PR-RAS'!E501,2),1,0)</f>
        <v>0</v>
      </c>
      <c r="I107" s="209"/>
      <c r="J107" s="209"/>
      <c r="K107" s="209"/>
      <c r="L107" s="209"/>
      <c r="M107" s="209"/>
      <c r="N107" s="209"/>
      <c r="O107" s="209"/>
      <c r="P107" s="209"/>
    </row>
    <row r="108" spans="1:16" ht="15" customHeight="1" x14ac:dyDescent="0.2">
      <c r="A108" s="74">
        <v>81</v>
      </c>
      <c r="B108" s="75" t="str">
        <f t="shared" si="5"/>
        <v>O.K.</v>
      </c>
      <c r="C108" s="250" t="s">
        <v>3141</v>
      </c>
      <c r="D108" s="73"/>
      <c r="E108" s="209">
        <f t="shared" si="6"/>
        <v>0</v>
      </c>
      <c r="F108" s="209">
        <f t="shared" si="7"/>
        <v>0</v>
      </c>
      <c r="G108" s="209">
        <f>IF(ROUND('PR-RAS'!D897,2)&gt;ROUND('PR-RAS'!D503,2),1,0)</f>
        <v>0</v>
      </c>
      <c r="H108" s="209">
        <f>IF(ROUND('PR-RAS'!E897,2)&gt;ROUND('PR-RAS'!E503,2),1,0)</f>
        <v>0</v>
      </c>
      <c r="I108" s="209"/>
      <c r="J108" s="209"/>
      <c r="K108" s="209"/>
      <c r="L108" s="209"/>
      <c r="M108" s="209"/>
      <c r="N108" s="209"/>
      <c r="O108" s="209"/>
      <c r="P108" s="209"/>
    </row>
    <row r="109" spans="1:16" ht="15" customHeight="1" x14ac:dyDescent="0.2">
      <c r="A109" s="74">
        <v>82</v>
      </c>
      <c r="B109" s="75" t="str">
        <f t="shared" si="5"/>
        <v>O.K.</v>
      </c>
      <c r="C109" s="250" t="s">
        <v>3142</v>
      </c>
      <c r="D109" s="73"/>
      <c r="E109" s="209">
        <f t="shared" si="6"/>
        <v>0</v>
      </c>
      <c r="F109" s="209">
        <f t="shared" si="7"/>
        <v>0</v>
      </c>
      <c r="G109" s="209">
        <f>IF(ROUND('PR-RAS'!D898,2)&gt;ROUND('PR-RAS'!D504,2),1,0)</f>
        <v>0</v>
      </c>
      <c r="H109" s="209">
        <f>IF(ROUND('PR-RAS'!E898,2)&gt;ROUND('PR-RAS'!E504,2),1,0)</f>
        <v>0</v>
      </c>
      <c r="I109" s="209"/>
      <c r="J109" s="209"/>
      <c r="K109" s="209"/>
      <c r="L109" s="209"/>
      <c r="M109" s="209"/>
      <c r="N109" s="209"/>
      <c r="O109" s="209"/>
      <c r="P109" s="209"/>
    </row>
    <row r="110" spans="1:16" ht="15" customHeight="1" x14ac:dyDescent="0.2">
      <c r="A110" s="74">
        <v>83</v>
      </c>
      <c r="B110" s="75" t="str">
        <f t="shared" si="5"/>
        <v>O.K.</v>
      </c>
      <c r="C110" s="250" t="s">
        <v>3143</v>
      </c>
      <c r="D110" s="73"/>
      <c r="E110" s="209">
        <f t="shared" si="6"/>
        <v>0</v>
      </c>
      <c r="F110" s="209">
        <f t="shared" si="7"/>
        <v>0</v>
      </c>
      <c r="G110" s="209">
        <f>IF(ROUND('PR-RAS'!D899,2)&gt;ROUND('PR-RAS'!D505,2),1,0)</f>
        <v>0</v>
      </c>
      <c r="H110" s="209">
        <f>IF(ROUND('PR-RAS'!E899,2)&gt;ROUND('PR-RAS'!E505,2),1,0)</f>
        <v>0</v>
      </c>
      <c r="I110" s="209"/>
      <c r="J110" s="209"/>
      <c r="K110" s="209"/>
      <c r="L110" s="209"/>
      <c r="M110" s="209"/>
      <c r="N110" s="209"/>
      <c r="O110" s="209"/>
      <c r="P110" s="209"/>
    </row>
    <row r="111" spans="1:16" ht="15" customHeight="1" x14ac:dyDescent="0.2">
      <c r="A111" s="74">
        <v>84</v>
      </c>
      <c r="B111" s="75" t="str">
        <f t="shared" si="5"/>
        <v>O.K.</v>
      </c>
      <c r="C111" s="250" t="s">
        <v>3144</v>
      </c>
      <c r="D111" s="73"/>
      <c r="E111" s="209">
        <f t="shared" si="6"/>
        <v>0</v>
      </c>
      <c r="F111" s="209">
        <f t="shared" si="7"/>
        <v>0</v>
      </c>
      <c r="G111" s="209">
        <f>IF(ABS('PR-RAS'!D508-'PR-RAS'!D900-'PR-RAS'!D901)&gt;0.001,1,0)</f>
        <v>0</v>
      </c>
      <c r="H111" s="209">
        <f>IF(ABS('PR-RAS'!E508-'PR-RAS'!E900-'PR-RAS'!E901)&gt;0.001,1,0)</f>
        <v>0</v>
      </c>
      <c r="I111" s="209"/>
      <c r="J111" s="209"/>
      <c r="K111" s="209"/>
      <c r="L111" s="209"/>
      <c r="M111" s="209"/>
      <c r="N111" s="209"/>
      <c r="O111" s="209"/>
      <c r="P111" s="209"/>
    </row>
    <row r="112" spans="1:16" ht="15" customHeight="1" x14ac:dyDescent="0.2">
      <c r="A112" s="74">
        <v>85</v>
      </c>
      <c r="B112" s="75" t="str">
        <f t="shared" si="5"/>
        <v>O.K.</v>
      </c>
      <c r="C112" s="250" t="s">
        <v>3145</v>
      </c>
      <c r="D112" s="73"/>
      <c r="E112" s="209">
        <f t="shared" si="6"/>
        <v>0</v>
      </c>
      <c r="F112" s="209">
        <f t="shared" si="7"/>
        <v>0</v>
      </c>
      <c r="G112" s="209">
        <f>IF(ABS('PR-RAS'!D509-'PR-RAS'!D902-'PR-RAS'!D903)&gt;0.001,1,0)</f>
        <v>0</v>
      </c>
      <c r="H112" s="209">
        <f>IF(ABS('PR-RAS'!E509-'PR-RAS'!E902-'PR-RAS'!E903)&gt;0.001,1,0)</f>
        <v>0</v>
      </c>
      <c r="I112" s="209"/>
      <c r="J112" s="209"/>
      <c r="K112" s="209"/>
      <c r="L112" s="209"/>
      <c r="M112" s="209"/>
      <c r="N112" s="209"/>
      <c r="O112" s="209"/>
      <c r="P112" s="209"/>
    </row>
    <row r="113" spans="1:16" ht="15" customHeight="1" x14ac:dyDescent="0.2">
      <c r="A113" s="74">
        <v>86</v>
      </c>
      <c r="B113" s="75" t="str">
        <f t="shared" si="5"/>
        <v>O.K.</v>
      </c>
      <c r="C113" s="250" t="s">
        <v>3146</v>
      </c>
      <c r="D113" s="73"/>
      <c r="E113" s="209">
        <f t="shared" si="6"/>
        <v>0</v>
      </c>
      <c r="F113" s="209">
        <f t="shared" si="7"/>
        <v>0</v>
      </c>
      <c r="G113" s="209">
        <f>IF(ABS('PR-RAS'!D510-'PR-RAS'!D904-'PR-RAS'!D905)&gt;0.001,1,0)</f>
        <v>0</v>
      </c>
      <c r="H113" s="209">
        <f>IF(ABS('PR-RAS'!E510-'PR-RAS'!E904-'PR-RAS'!E905)&gt;0.001,1,0)</f>
        <v>0</v>
      </c>
      <c r="I113" s="209"/>
      <c r="J113" s="209"/>
      <c r="K113" s="209"/>
      <c r="L113" s="209"/>
      <c r="M113" s="209"/>
      <c r="N113" s="209"/>
      <c r="O113" s="209"/>
      <c r="P113" s="209"/>
    </row>
    <row r="114" spans="1:16" ht="15" customHeight="1" x14ac:dyDescent="0.2">
      <c r="A114" s="74">
        <v>87</v>
      </c>
      <c r="B114" s="75" t="str">
        <f t="shared" si="5"/>
        <v>O.K.</v>
      </c>
      <c r="C114" s="250" t="s">
        <v>3147</v>
      </c>
      <c r="D114" s="73"/>
      <c r="E114" s="209">
        <f t="shared" si="6"/>
        <v>0</v>
      </c>
      <c r="F114" s="209">
        <f t="shared" si="7"/>
        <v>0</v>
      </c>
      <c r="G114" s="209">
        <f>IF(ABS('PR-RAS'!D511-'PR-RAS'!D906-'PR-RAS'!D907)&gt;0.001,1,0)</f>
        <v>0</v>
      </c>
      <c r="H114" s="209">
        <f>IF(ABS('PR-RAS'!E511-'PR-RAS'!E906-'PR-RAS'!E907)&gt;0.001,1,0)</f>
        <v>0</v>
      </c>
      <c r="I114" s="209"/>
      <c r="J114" s="209"/>
      <c r="K114" s="209"/>
      <c r="L114" s="209"/>
      <c r="M114" s="209"/>
      <c r="N114" s="209"/>
      <c r="O114" s="209"/>
      <c r="P114" s="209"/>
    </row>
    <row r="115" spans="1:16" ht="15" customHeight="1" x14ac:dyDescent="0.2">
      <c r="A115" s="74">
        <v>88</v>
      </c>
      <c r="B115" s="75" t="str">
        <f t="shared" si="5"/>
        <v>O.K.</v>
      </c>
      <c r="C115" s="250" t="s">
        <v>3148</v>
      </c>
      <c r="D115" s="73"/>
      <c r="E115" s="209">
        <f t="shared" si="6"/>
        <v>0</v>
      </c>
      <c r="F115" s="209">
        <f t="shared" si="7"/>
        <v>0</v>
      </c>
      <c r="G115" s="209">
        <f>IF(ABS('PR-RAS'!D512-'PR-RAS'!D908-'PR-RAS'!D909)&gt;0.001,1,0)</f>
        <v>0</v>
      </c>
      <c r="H115" s="209">
        <f>IF(ABS('PR-RAS'!E512-'PR-RAS'!E908-'PR-RAS'!E909)&gt;0.001,1,0)</f>
        <v>0</v>
      </c>
      <c r="I115" s="209"/>
      <c r="J115" s="209"/>
      <c r="K115" s="209"/>
      <c r="L115" s="209"/>
      <c r="M115" s="209"/>
      <c r="N115" s="209"/>
      <c r="O115" s="209"/>
      <c r="P115" s="209"/>
    </row>
    <row r="116" spans="1:16" ht="15" customHeight="1" x14ac:dyDescent="0.2">
      <c r="A116" s="74">
        <v>89</v>
      </c>
      <c r="B116" s="75" t="str">
        <f t="shared" si="5"/>
        <v>O.K.</v>
      </c>
      <c r="C116" s="250" t="s">
        <v>3149</v>
      </c>
      <c r="D116" s="73"/>
      <c r="E116" s="209">
        <f t="shared" si="6"/>
        <v>0</v>
      </c>
      <c r="F116" s="209">
        <f t="shared" si="7"/>
        <v>0</v>
      </c>
      <c r="G116" s="209">
        <f>IF(ABS('PR-RAS'!D513-'PR-RAS'!D910-'PR-RAS'!D911)&gt;0.001,1,0)</f>
        <v>0</v>
      </c>
      <c r="H116" s="209">
        <f>IF(ABS('PR-RAS'!E513-'PR-RAS'!E910-'PR-RAS'!E911)&gt;0.001,1,0)</f>
        <v>0</v>
      </c>
      <c r="I116" s="209"/>
      <c r="J116" s="209"/>
      <c r="K116" s="209"/>
      <c r="L116" s="209"/>
      <c r="M116" s="209"/>
      <c r="N116" s="209"/>
      <c r="O116" s="209"/>
      <c r="P116" s="209"/>
    </row>
    <row r="117" spans="1:16" ht="15" customHeight="1" x14ac:dyDescent="0.2">
      <c r="A117" s="74">
        <v>90</v>
      </c>
      <c r="B117" s="75" t="str">
        <f t="shared" si="5"/>
        <v>O.K.</v>
      </c>
      <c r="C117" s="250" t="s">
        <v>3150</v>
      </c>
      <c r="D117" s="73"/>
      <c r="E117" s="209">
        <f t="shared" si="6"/>
        <v>0</v>
      </c>
      <c r="F117" s="209">
        <f t="shared" si="7"/>
        <v>0</v>
      </c>
      <c r="G117" s="209">
        <f>IF(ABS('PR-RAS'!D514-'PR-RAS'!D912-'PR-RAS'!D913)&gt;0.001,1,0)</f>
        <v>0</v>
      </c>
      <c r="H117" s="209">
        <f>IF(ABS('PR-RAS'!E514-'PR-RAS'!E912-'PR-RAS'!E913)&gt;0.001,1,0)</f>
        <v>0</v>
      </c>
      <c r="I117" s="209"/>
      <c r="J117" s="209"/>
      <c r="K117" s="209"/>
      <c r="L117" s="209"/>
      <c r="M117" s="209"/>
      <c r="N117" s="209"/>
      <c r="O117" s="209"/>
      <c r="P117" s="209"/>
    </row>
    <row r="118" spans="1:16" ht="15" customHeight="1" x14ac:dyDescent="0.2">
      <c r="A118" s="74">
        <v>91</v>
      </c>
      <c r="B118" s="75" t="str">
        <f t="shared" si="5"/>
        <v>O.K.</v>
      </c>
      <c r="C118" s="250" t="s">
        <v>3151</v>
      </c>
      <c r="D118" s="73"/>
      <c r="E118" s="209">
        <f t="shared" si="6"/>
        <v>0</v>
      </c>
      <c r="F118" s="209">
        <f t="shared" si="7"/>
        <v>0</v>
      </c>
      <c r="G118" s="209">
        <f>IF(ROUND('PR-RAS'!D914,2)&gt;ROUND('PR-RAS'!D526,2),1,0)</f>
        <v>0</v>
      </c>
      <c r="H118" s="209">
        <f>IF(ROUND('PR-RAS'!E914,2)&gt;ROUND('PR-RAS'!E526,2),1,0)</f>
        <v>0</v>
      </c>
      <c r="I118" s="209"/>
      <c r="J118" s="209"/>
      <c r="K118" s="209"/>
      <c r="L118" s="209"/>
      <c r="M118" s="209"/>
      <c r="N118" s="209"/>
      <c r="O118" s="209"/>
      <c r="P118" s="209"/>
    </row>
    <row r="119" spans="1:16" ht="15" customHeight="1" x14ac:dyDescent="0.2">
      <c r="A119" s="74">
        <v>92</v>
      </c>
      <c r="B119" s="75" t="str">
        <f t="shared" si="5"/>
        <v>O.K.</v>
      </c>
      <c r="C119" s="251" t="s">
        <v>3152</v>
      </c>
      <c r="D119" s="73"/>
      <c r="E119" s="209">
        <f t="shared" si="6"/>
        <v>0</v>
      </c>
      <c r="F119" s="209">
        <f t="shared" si="7"/>
        <v>0</v>
      </c>
      <c r="G119" s="209">
        <f>IF(ROUND('PR-RAS'!D915,2)&gt;ROUND('PR-RAS'!D536,2),1,0)</f>
        <v>0</v>
      </c>
      <c r="H119" s="209">
        <f>IF(ROUND('PR-RAS'!E915,2)&gt;ROUND('PR-RAS'!E536,2),1,0)</f>
        <v>0</v>
      </c>
      <c r="I119" s="209"/>
      <c r="J119" s="209"/>
      <c r="K119" s="209"/>
      <c r="L119" s="209"/>
      <c r="M119" s="209"/>
      <c r="N119" s="209"/>
      <c r="O119" s="209"/>
      <c r="P119" s="209"/>
    </row>
    <row r="120" spans="1:16" ht="15" customHeight="1" x14ac:dyDescent="0.2">
      <c r="A120" s="74">
        <v>93</v>
      </c>
      <c r="B120" s="75" t="str">
        <f t="shared" si="5"/>
        <v>O.K.</v>
      </c>
      <c r="C120" s="251" t="s">
        <v>3153</v>
      </c>
      <c r="D120" s="73"/>
      <c r="E120" s="209">
        <f t="shared" si="6"/>
        <v>0</v>
      </c>
      <c r="F120" s="209">
        <f t="shared" si="7"/>
        <v>0</v>
      </c>
      <c r="G120" s="209">
        <f>IF(ROUND('PR-RAS'!D916,2)&gt;ROUND('PR-RAS'!D539,2),1,0)</f>
        <v>0</v>
      </c>
      <c r="H120" s="209">
        <f>IF(ROUND('PR-RAS'!E916,2)&gt;ROUND('PR-RAS'!E539,2),1,0)</f>
        <v>0</v>
      </c>
      <c r="I120" s="209"/>
      <c r="J120" s="209"/>
      <c r="K120" s="209"/>
      <c r="L120" s="209"/>
      <c r="M120" s="209"/>
      <c r="N120" s="209"/>
      <c r="O120" s="209"/>
      <c r="P120" s="209"/>
    </row>
    <row r="121" spans="1:16" ht="15" customHeight="1" x14ac:dyDescent="0.2">
      <c r="A121" s="74">
        <v>94</v>
      </c>
      <c r="B121" s="75" t="str">
        <f t="shared" si="5"/>
        <v>O.K.</v>
      </c>
      <c r="C121" s="251" t="s">
        <v>3154</v>
      </c>
      <c r="D121" s="73"/>
      <c r="E121" s="209">
        <f t="shared" si="6"/>
        <v>0</v>
      </c>
      <c r="F121" s="209">
        <f t="shared" si="7"/>
        <v>0</v>
      </c>
      <c r="G121" s="209">
        <f>IF(ROUND('PR-RAS'!D917,2)&gt;ROUND('PR-RAS'!D540,2),1,0)</f>
        <v>0</v>
      </c>
      <c r="H121" s="209">
        <f>IF(ROUND('PR-RAS'!E917,2)&gt;ROUND('PR-RAS'!E540,2),1,0)</f>
        <v>0</v>
      </c>
      <c r="I121" s="209"/>
      <c r="J121" s="209"/>
      <c r="K121" s="209"/>
      <c r="L121" s="209"/>
      <c r="M121" s="209"/>
      <c r="N121" s="209"/>
      <c r="O121" s="209"/>
      <c r="P121" s="209"/>
    </row>
    <row r="122" spans="1:16" ht="15" customHeight="1" x14ac:dyDescent="0.2">
      <c r="A122" s="74">
        <v>95</v>
      </c>
      <c r="B122" s="75" t="str">
        <f t="shared" si="5"/>
        <v>O.K.</v>
      </c>
      <c r="C122" s="251" t="s">
        <v>3155</v>
      </c>
      <c r="D122" s="73"/>
      <c r="E122" s="209">
        <f t="shared" si="6"/>
        <v>0</v>
      </c>
      <c r="F122" s="209">
        <f t="shared" si="7"/>
        <v>0</v>
      </c>
      <c r="G122" s="209">
        <f>IF(ROUND('PR-RAS'!D918,2)&gt;ROUND('PR-RAS'!D541,2),1,0)</f>
        <v>0</v>
      </c>
      <c r="H122" s="209">
        <f>IF(ROUND('PR-RAS'!E918,2)&gt;ROUND('PR-RAS'!E541,2),1,0)</f>
        <v>0</v>
      </c>
      <c r="I122" s="209"/>
      <c r="J122" s="209"/>
      <c r="K122" s="209"/>
      <c r="L122" s="209"/>
      <c r="M122" s="209"/>
      <c r="N122" s="209"/>
      <c r="O122" s="209"/>
      <c r="P122" s="209"/>
    </row>
    <row r="123" spans="1:16" ht="15" customHeight="1" x14ac:dyDescent="0.2">
      <c r="A123" s="74">
        <v>96</v>
      </c>
      <c r="B123" s="75" t="str">
        <f t="shared" si="5"/>
        <v>O.K.</v>
      </c>
      <c r="C123" s="251" t="s">
        <v>3156</v>
      </c>
      <c r="D123" s="73"/>
      <c r="E123" s="209">
        <f t="shared" si="6"/>
        <v>0</v>
      </c>
      <c r="F123" s="209">
        <f t="shared" si="7"/>
        <v>0</v>
      </c>
      <c r="G123" s="209">
        <f>IF(ABS('PR-RAS'!D542-SUM('PR-RAS'!D919:D920))&gt;0.001,1,0)</f>
        <v>0</v>
      </c>
      <c r="H123" s="209">
        <f>IF(ABS('PR-RAS'!E542-SUM('PR-RAS'!E919:E920))&gt;0.001,1,0)</f>
        <v>0</v>
      </c>
      <c r="I123" s="209"/>
      <c r="J123" s="209"/>
      <c r="K123" s="209"/>
      <c r="L123" s="209"/>
      <c r="M123" s="209"/>
      <c r="N123" s="209"/>
      <c r="O123" s="209"/>
      <c r="P123" s="209"/>
    </row>
    <row r="124" spans="1:16" ht="15" customHeight="1" x14ac:dyDescent="0.2">
      <c r="A124" s="74">
        <v>97</v>
      </c>
      <c r="B124" s="75" t="str">
        <f t="shared" si="5"/>
        <v>O.K.</v>
      </c>
      <c r="C124" s="251" t="s">
        <v>3157</v>
      </c>
      <c r="D124" s="73"/>
      <c r="E124" s="209">
        <f t="shared" si="6"/>
        <v>0</v>
      </c>
      <c r="F124" s="209">
        <f t="shared" si="7"/>
        <v>0</v>
      </c>
      <c r="G124" s="209">
        <f>IF(ROUND(SUM('PR-RAS'!D921:D921),2)&gt;ROUND('PR-RAS'!D544,2),1,0)</f>
        <v>0</v>
      </c>
      <c r="H124" s="209">
        <f>IF(ROUND(SUM('PR-RAS'!E921:E921),2)&gt;ROUND('PR-RAS'!E544,2),1,0)</f>
        <v>0</v>
      </c>
      <c r="I124" s="209"/>
      <c r="J124" s="209"/>
      <c r="K124" s="209"/>
      <c r="L124" s="209"/>
      <c r="M124" s="209"/>
      <c r="N124" s="209"/>
      <c r="O124" s="209"/>
      <c r="P124" s="209"/>
    </row>
    <row r="125" spans="1:16" ht="15" customHeight="1" x14ac:dyDescent="0.2">
      <c r="A125" s="74">
        <v>98</v>
      </c>
      <c r="B125" s="75" t="str">
        <f t="shared" si="5"/>
        <v>O.K.</v>
      </c>
      <c r="C125" s="251" t="s">
        <v>3158</v>
      </c>
      <c r="D125" s="73"/>
      <c r="E125" s="209">
        <f t="shared" si="6"/>
        <v>0</v>
      </c>
      <c r="F125" s="209">
        <f t="shared" si="7"/>
        <v>0</v>
      </c>
      <c r="G125" s="209">
        <f>IF(ROUND(SUM('PR-RAS'!D922:D922),2)&gt;ROUND('PR-RAS'!D545,2),1,0)</f>
        <v>0</v>
      </c>
      <c r="H125" s="209">
        <f>IF(ROUND(SUM('PR-RAS'!E922:E922),2)&gt;ROUND('PR-RAS'!E545,2),1,0)</f>
        <v>0</v>
      </c>
      <c r="I125" s="209"/>
      <c r="J125" s="209"/>
      <c r="K125" s="209"/>
      <c r="L125" s="209"/>
      <c r="M125" s="209"/>
      <c r="N125" s="209"/>
      <c r="O125" s="209"/>
      <c r="P125" s="209"/>
    </row>
    <row r="126" spans="1:16" ht="15" customHeight="1" x14ac:dyDescent="0.2">
      <c r="A126" s="74">
        <v>99</v>
      </c>
      <c r="B126" s="75" t="str">
        <f t="shared" si="5"/>
        <v>O.K.</v>
      </c>
      <c r="C126" s="251" t="s">
        <v>3159</v>
      </c>
      <c r="D126" s="73"/>
      <c r="E126" s="209">
        <f t="shared" si="6"/>
        <v>0</v>
      </c>
      <c r="F126" s="209">
        <f t="shared" si="7"/>
        <v>0</v>
      </c>
      <c r="G126" s="209">
        <f>IF(ROUND(SUM('PR-RAS'!D923:D923),2)&gt;ROUND('PR-RAS'!D546,2),1,0)</f>
        <v>0</v>
      </c>
      <c r="H126" s="209">
        <f>IF(ROUND(SUM('PR-RAS'!E923:E923),2)&gt;ROUND('PR-RAS'!E546,2),1,0)</f>
        <v>0</v>
      </c>
      <c r="I126" s="209"/>
      <c r="J126" s="209"/>
      <c r="K126" s="209"/>
      <c r="L126" s="209"/>
      <c r="M126" s="209"/>
      <c r="N126" s="209"/>
      <c r="O126" s="209"/>
      <c r="P126" s="209"/>
    </row>
    <row r="127" spans="1:16" ht="15" customHeight="1" x14ac:dyDescent="0.2">
      <c r="A127" s="74">
        <v>100</v>
      </c>
      <c r="B127" s="75" t="str">
        <f t="shared" si="5"/>
        <v>O.K.</v>
      </c>
      <c r="C127" s="251" t="s">
        <v>3160</v>
      </c>
      <c r="D127" s="73"/>
      <c r="E127" s="209">
        <f t="shared" si="6"/>
        <v>0</v>
      </c>
      <c r="F127" s="209">
        <f t="shared" si="7"/>
        <v>0</v>
      </c>
      <c r="G127" s="209">
        <f>IF(ABS('PR-RAS'!D551-SUM('PR-RAS'!D924:D925))&gt;0.001,1,0)</f>
        <v>0</v>
      </c>
      <c r="H127" s="209">
        <f>IF(ABS('PR-RAS'!E551-SUM('PR-RAS'!E924:E925))&gt;0.001,1,0)</f>
        <v>0</v>
      </c>
      <c r="I127" s="209"/>
      <c r="J127" s="209"/>
      <c r="K127" s="209"/>
      <c r="L127" s="209"/>
      <c r="M127" s="209"/>
      <c r="N127" s="209"/>
      <c r="O127" s="209"/>
      <c r="P127" s="209"/>
    </row>
    <row r="128" spans="1:16" ht="15" customHeight="1" x14ac:dyDescent="0.2">
      <c r="A128" s="74">
        <v>101</v>
      </c>
      <c r="B128" s="75" t="str">
        <f t="shared" si="5"/>
        <v>O.K.</v>
      </c>
      <c r="C128" s="251" t="s">
        <v>3161</v>
      </c>
      <c r="D128" s="73"/>
      <c r="E128" s="209">
        <f t="shared" si="6"/>
        <v>0</v>
      </c>
      <c r="F128" s="209">
        <f t="shared" si="7"/>
        <v>0</v>
      </c>
      <c r="G128" s="209">
        <f>IF(ABS('PR-RAS'!D552-SUM('PR-RAS'!D926:D927))&gt;0.001,1,0)</f>
        <v>0</v>
      </c>
      <c r="H128" s="209">
        <f>IF(ABS('PR-RAS'!E552-SUM('PR-RAS'!E926:E927))&gt;0.001,1,0)</f>
        <v>0</v>
      </c>
      <c r="I128" s="209"/>
      <c r="J128" s="209"/>
      <c r="K128" s="209"/>
      <c r="L128" s="209"/>
      <c r="M128" s="209"/>
      <c r="N128" s="209"/>
      <c r="O128" s="209"/>
      <c r="P128" s="209"/>
    </row>
    <row r="129" spans="1:16" ht="15" customHeight="1" x14ac:dyDescent="0.2">
      <c r="A129" s="74">
        <v>102</v>
      </c>
      <c r="B129" s="75" t="str">
        <f t="shared" si="5"/>
        <v>O.K.</v>
      </c>
      <c r="C129" s="251" t="s">
        <v>3162</v>
      </c>
      <c r="D129" s="73"/>
      <c r="E129" s="209">
        <f t="shared" si="6"/>
        <v>0</v>
      </c>
      <c r="F129" s="209">
        <f t="shared" si="7"/>
        <v>0</v>
      </c>
      <c r="G129" s="209">
        <f>IF(ABS('PR-RAS'!D556-SUM('PR-RAS'!D928:D929))&gt;0.001,1,0)</f>
        <v>0</v>
      </c>
      <c r="H129" s="209">
        <f>IF(ABS('PR-RAS'!E556-SUM('PR-RAS'!E928:E929))&gt;0.001,1,0)</f>
        <v>0</v>
      </c>
      <c r="I129" s="209"/>
      <c r="J129" s="209"/>
      <c r="K129" s="209"/>
      <c r="L129" s="209"/>
      <c r="M129" s="209"/>
      <c r="N129" s="209"/>
      <c r="O129" s="209"/>
      <c r="P129" s="209"/>
    </row>
    <row r="130" spans="1:16" ht="15" customHeight="1" x14ac:dyDescent="0.2">
      <c r="A130" s="74">
        <v>103</v>
      </c>
      <c r="B130" s="75" t="str">
        <f t="shared" si="5"/>
        <v>O.K.</v>
      </c>
      <c r="C130" s="251" t="s">
        <v>3163</v>
      </c>
      <c r="D130" s="73"/>
      <c r="E130" s="209">
        <f t="shared" si="6"/>
        <v>0</v>
      </c>
      <c r="F130" s="209">
        <f t="shared" si="7"/>
        <v>0</v>
      </c>
      <c r="G130" s="209">
        <f>IF(ABS('PR-RAS'!D557-SUM('PR-RAS'!D930:D931))&gt;0.001,1,0)</f>
        <v>0</v>
      </c>
      <c r="H130" s="209">
        <f>IF(ABS('PR-RAS'!E557-SUM('PR-RAS'!E930:E931))&gt;0.001,1,0)</f>
        <v>0</v>
      </c>
      <c r="I130" s="209"/>
      <c r="J130" s="209"/>
      <c r="K130" s="209"/>
      <c r="L130" s="209"/>
      <c r="M130" s="209"/>
      <c r="N130" s="209"/>
      <c r="O130" s="209"/>
      <c r="P130" s="209"/>
    </row>
    <row r="131" spans="1:16" ht="15" customHeight="1" x14ac:dyDescent="0.2">
      <c r="A131" s="74">
        <v>104</v>
      </c>
      <c r="B131" s="75" t="str">
        <f t="shared" si="5"/>
        <v>O.K.</v>
      </c>
      <c r="C131" s="251" t="s">
        <v>3164</v>
      </c>
      <c r="D131" s="73"/>
      <c r="E131" s="209">
        <f t="shared" si="6"/>
        <v>0</v>
      </c>
      <c r="F131" s="209">
        <f t="shared" si="7"/>
        <v>0</v>
      </c>
      <c r="G131" s="209">
        <f>IF(ABS('PR-RAS'!D558-SUM('PR-RAS'!D932:D933))&gt;0.001,1,0)</f>
        <v>0</v>
      </c>
      <c r="H131" s="209">
        <f>IF(ABS('PR-RAS'!E558-SUM('PR-RAS'!E932:E933))&gt;0.001,1,0)</f>
        <v>0</v>
      </c>
      <c r="I131" s="209"/>
      <c r="J131" s="209"/>
      <c r="K131" s="209"/>
      <c r="L131" s="209"/>
      <c r="M131" s="209"/>
      <c r="N131" s="209"/>
      <c r="O131" s="209"/>
      <c r="P131" s="209"/>
    </row>
    <row r="132" spans="1:16" ht="15" customHeight="1" x14ac:dyDescent="0.2">
      <c r="A132" s="74">
        <v>105</v>
      </c>
      <c r="B132" s="75" t="str">
        <f t="shared" si="5"/>
        <v>O.K.</v>
      </c>
      <c r="C132" s="251" t="s">
        <v>3165</v>
      </c>
      <c r="D132" s="73"/>
      <c r="E132" s="209">
        <f t="shared" si="6"/>
        <v>0</v>
      </c>
      <c r="F132" s="209">
        <f t="shared" si="7"/>
        <v>0</v>
      </c>
      <c r="G132" s="209">
        <f>IF(ABS('PR-RAS'!D559-SUM('PR-RAS'!D934:D935))&gt;0.001,1,0)</f>
        <v>0</v>
      </c>
      <c r="H132" s="209">
        <f>IF(ABS('PR-RAS'!E559-SUM('PR-RAS'!E934:E935))&gt;0.001,1,0)</f>
        <v>0</v>
      </c>
      <c r="I132" s="209"/>
      <c r="J132" s="209"/>
      <c r="K132" s="209"/>
      <c r="L132" s="209"/>
      <c r="M132" s="209"/>
      <c r="N132" s="209"/>
      <c r="O132" s="209"/>
      <c r="P132" s="209"/>
    </row>
    <row r="133" spans="1:16" ht="15" customHeight="1" x14ac:dyDescent="0.2">
      <c r="A133" s="74">
        <v>106</v>
      </c>
      <c r="B133" s="75" t="str">
        <f t="shared" si="5"/>
        <v>O.K.</v>
      </c>
      <c r="C133" s="251" t="s">
        <v>3166</v>
      </c>
      <c r="D133" s="73"/>
      <c r="E133" s="209">
        <f t="shared" si="6"/>
        <v>0</v>
      </c>
      <c r="F133" s="209">
        <f t="shared" si="7"/>
        <v>0</v>
      </c>
      <c r="G133" s="209">
        <f>IF(ABS('PR-RAS'!D560-SUM('PR-RAS'!D936:D937))&gt;0.001,1,0)</f>
        <v>0</v>
      </c>
      <c r="H133" s="209">
        <f>IF(ABS('PR-RAS'!E560-SUM('PR-RAS'!E936:E937))&gt;0.001,1,0)</f>
        <v>0</v>
      </c>
      <c r="I133" s="209"/>
      <c r="J133" s="209"/>
      <c r="K133" s="209"/>
      <c r="L133" s="209"/>
      <c r="M133" s="209"/>
      <c r="N133" s="209"/>
      <c r="O133" s="209"/>
      <c r="P133" s="209"/>
    </row>
    <row r="134" spans="1:16" ht="15" customHeight="1" x14ac:dyDescent="0.2">
      <c r="A134" s="74">
        <v>107</v>
      </c>
      <c r="B134" s="75" t="str">
        <f t="shared" si="5"/>
        <v>O.K.</v>
      </c>
      <c r="C134" s="251" t="s">
        <v>3167</v>
      </c>
      <c r="D134" s="73"/>
      <c r="E134" s="209">
        <f t="shared" si="6"/>
        <v>0</v>
      </c>
      <c r="F134" s="209">
        <f t="shared" si="7"/>
        <v>0</v>
      </c>
      <c r="G134" s="209">
        <f>IF(ABS('PR-RAS'!D561-SUM('PR-RAS'!D938:D939))&gt;0.001,1,0)</f>
        <v>0</v>
      </c>
      <c r="H134" s="209">
        <f>IF(ABS('PR-RAS'!E561-SUM('PR-RAS'!E938:E939))&gt;0.001,1,0)</f>
        <v>0</v>
      </c>
      <c r="I134" s="209"/>
      <c r="J134" s="209"/>
      <c r="K134" s="209"/>
      <c r="L134" s="209"/>
      <c r="M134" s="209"/>
      <c r="N134" s="209"/>
      <c r="O134" s="209"/>
      <c r="P134" s="209"/>
    </row>
    <row r="135" spans="1:16" ht="15" customHeight="1" x14ac:dyDescent="0.2">
      <c r="A135" s="74">
        <v>108</v>
      </c>
      <c r="B135" s="75" t="str">
        <f t="shared" si="5"/>
        <v>O.K.</v>
      </c>
      <c r="C135" s="251" t="s">
        <v>3168</v>
      </c>
      <c r="D135" s="73"/>
      <c r="E135" s="209">
        <f t="shared" si="6"/>
        <v>0</v>
      </c>
      <c r="F135" s="209">
        <f t="shared" si="7"/>
        <v>0</v>
      </c>
      <c r="G135" s="209">
        <f>IF(ABS('PR-RAS'!D562-SUM('PR-RAS'!D940:D941))&gt;0.001,1,0)</f>
        <v>0</v>
      </c>
      <c r="H135" s="209">
        <f>IF(ABS('PR-RAS'!E562-SUM('PR-RAS'!E940:E941))&gt;0.001,1,0)</f>
        <v>0</v>
      </c>
      <c r="I135" s="209"/>
      <c r="J135" s="209"/>
      <c r="K135" s="209"/>
      <c r="L135" s="209"/>
      <c r="M135" s="209"/>
      <c r="N135" s="209"/>
      <c r="O135" s="209"/>
      <c r="P135" s="209"/>
    </row>
    <row r="136" spans="1:16" ht="15" customHeight="1" x14ac:dyDescent="0.2">
      <c r="A136" s="74">
        <v>109</v>
      </c>
      <c r="B136" s="75" t="str">
        <f t="shared" si="5"/>
        <v>O.K.</v>
      </c>
      <c r="C136" s="250" t="s">
        <v>3169</v>
      </c>
      <c r="D136" s="73"/>
      <c r="E136" s="209">
        <f t="shared" si="6"/>
        <v>0</v>
      </c>
      <c r="F136" s="209">
        <f t="shared" si="7"/>
        <v>0</v>
      </c>
      <c r="G136" s="209">
        <f>IF(ROUND('PR-RAS'!D942,2)&gt;ROUND('PR-RAS'!D595,2),1,0)</f>
        <v>0</v>
      </c>
      <c r="H136" s="209">
        <f>IF(ROUND('PR-RAS'!E942,2)&gt;ROUND('PR-RAS'!E595,2),1,0)</f>
        <v>0</v>
      </c>
      <c r="I136" s="209"/>
      <c r="J136" s="209"/>
      <c r="K136" s="209"/>
      <c r="L136" s="209"/>
      <c r="M136" s="209"/>
      <c r="N136" s="209"/>
      <c r="O136" s="209"/>
      <c r="P136" s="209"/>
    </row>
    <row r="137" spans="1:16" ht="15" customHeight="1" x14ac:dyDescent="0.2">
      <c r="A137" s="74">
        <v>110</v>
      </c>
      <c r="B137" s="75" t="str">
        <f t="shared" si="5"/>
        <v>O.K.</v>
      </c>
      <c r="C137" s="250" t="s">
        <v>3170</v>
      </c>
      <c r="D137" s="73"/>
      <c r="E137" s="209">
        <f t="shared" si="6"/>
        <v>0</v>
      </c>
      <c r="F137" s="209">
        <f t="shared" si="7"/>
        <v>0</v>
      </c>
      <c r="G137" s="209">
        <f>IF(ROUND('PR-RAS'!D943,2)&gt;ROUND('PR-RAS'!D596,2),1,0)</f>
        <v>0</v>
      </c>
      <c r="H137" s="209">
        <f>IF(ROUND('PR-RAS'!E943,2)&gt;ROUND('PR-RAS'!E596,2),1,0)</f>
        <v>0</v>
      </c>
      <c r="I137" s="209"/>
      <c r="J137" s="209"/>
      <c r="K137" s="209"/>
      <c r="L137" s="209"/>
      <c r="M137" s="209"/>
      <c r="N137" s="209"/>
      <c r="O137" s="209"/>
      <c r="P137" s="209"/>
    </row>
    <row r="138" spans="1:16" ht="15" customHeight="1" x14ac:dyDescent="0.2">
      <c r="A138" s="74">
        <v>111</v>
      </c>
      <c r="B138" s="75" t="str">
        <f t="shared" si="5"/>
        <v>O.K.</v>
      </c>
      <c r="C138" s="250" t="s">
        <v>3171</v>
      </c>
      <c r="D138" s="73"/>
      <c r="E138" s="209">
        <f t="shared" si="6"/>
        <v>0</v>
      </c>
      <c r="F138" s="209">
        <f t="shared" si="7"/>
        <v>0</v>
      </c>
      <c r="G138" s="209">
        <f>IF(ROUND('PR-RAS'!D944,2)&gt;ROUND('PR-RAS'!D597,2),1,0)</f>
        <v>0</v>
      </c>
      <c r="H138" s="209">
        <f>IF(ROUND('PR-RAS'!E944,2)&gt;ROUND('PR-RAS'!E597,2),1,0)</f>
        <v>0</v>
      </c>
      <c r="I138" s="209"/>
      <c r="J138" s="209"/>
      <c r="K138" s="209"/>
      <c r="L138" s="209"/>
      <c r="M138" s="209"/>
      <c r="N138" s="209"/>
      <c r="O138" s="209"/>
      <c r="P138" s="209"/>
    </row>
    <row r="139" spans="1:16" ht="15" customHeight="1" x14ac:dyDescent="0.2">
      <c r="A139" s="74">
        <v>112</v>
      </c>
      <c r="B139" s="75" t="str">
        <f t="shared" si="5"/>
        <v>O.K.</v>
      </c>
      <c r="C139" s="250" t="s">
        <v>3172</v>
      </c>
      <c r="D139" s="73"/>
      <c r="E139" s="209">
        <f t="shared" si="6"/>
        <v>0</v>
      </c>
      <c r="F139" s="209">
        <f t="shared" si="7"/>
        <v>0</v>
      </c>
      <c r="G139" s="209">
        <f>IF(ROUND('PR-RAS'!D945,2)&gt;ROUND('PR-RAS'!D598,2),1,0)</f>
        <v>0</v>
      </c>
      <c r="H139" s="209">
        <f>IF(ROUND('PR-RAS'!E945,2)&gt;ROUND('PR-RAS'!E598,2),1,0)</f>
        <v>0</v>
      </c>
      <c r="I139" s="209"/>
      <c r="J139" s="209"/>
      <c r="K139" s="209"/>
      <c r="L139" s="209"/>
      <c r="M139" s="209"/>
      <c r="N139" s="209"/>
      <c r="O139" s="209"/>
      <c r="P139" s="209"/>
    </row>
    <row r="140" spans="1:16" ht="15" customHeight="1" x14ac:dyDescent="0.2">
      <c r="A140" s="74">
        <v>113</v>
      </c>
      <c r="B140" s="75" t="str">
        <f t="shared" si="5"/>
        <v>O.K.</v>
      </c>
      <c r="C140" s="250" t="s">
        <v>3173</v>
      </c>
      <c r="D140" s="73"/>
      <c r="E140" s="209">
        <f t="shared" si="6"/>
        <v>0</v>
      </c>
      <c r="F140" s="209">
        <f t="shared" si="7"/>
        <v>0</v>
      </c>
      <c r="G140" s="209">
        <f>IF(ROUND(SUM('PR-RAS'!D946:D948),2)&gt;ROUND('PR-RAS'!D600,2),1,0)</f>
        <v>0</v>
      </c>
      <c r="H140" s="209">
        <f>IF(ROUND(SUM('PR-RAS'!E946:E948),2)&gt;ROUND('PR-RAS'!E600,2),1,0)</f>
        <v>0</v>
      </c>
      <c r="I140" s="209"/>
      <c r="J140" s="209"/>
      <c r="K140" s="209"/>
      <c r="L140" s="209"/>
      <c r="M140" s="209"/>
      <c r="N140" s="209"/>
      <c r="O140" s="209"/>
      <c r="P140" s="209"/>
    </row>
    <row r="141" spans="1:16" ht="15" customHeight="1" x14ac:dyDescent="0.2">
      <c r="A141" s="74">
        <v>114</v>
      </c>
      <c r="B141" s="75" t="str">
        <f t="shared" si="5"/>
        <v>O.K.</v>
      </c>
      <c r="C141" s="250" t="s">
        <v>3174</v>
      </c>
      <c r="D141" s="73"/>
      <c r="E141" s="209">
        <f t="shared" si="6"/>
        <v>0</v>
      </c>
      <c r="F141" s="209">
        <f t="shared" si="7"/>
        <v>0</v>
      </c>
      <c r="G141" s="209">
        <f>IF(ROUND('PR-RAS'!D949,2)&gt;ROUND('PR-RAS'!D601,2),1,0)</f>
        <v>0</v>
      </c>
      <c r="H141" s="209">
        <f>IF(ROUND('PR-RAS'!E949,2)&gt;ROUND('PR-RAS'!E601,2),1,0)</f>
        <v>0</v>
      </c>
      <c r="I141" s="209"/>
      <c r="J141" s="209"/>
      <c r="K141" s="209"/>
      <c r="L141" s="209"/>
      <c r="M141" s="209"/>
      <c r="N141" s="209"/>
      <c r="O141" s="209"/>
      <c r="P141" s="209"/>
    </row>
    <row r="142" spans="1:16" ht="15" customHeight="1" x14ac:dyDescent="0.2">
      <c r="A142" s="74">
        <v>115</v>
      </c>
      <c r="B142" s="75" t="str">
        <f t="shared" si="5"/>
        <v>O.K.</v>
      </c>
      <c r="C142" s="250" t="s">
        <v>3175</v>
      </c>
      <c r="D142" s="73"/>
      <c r="E142" s="209">
        <f t="shared" si="6"/>
        <v>0</v>
      </c>
      <c r="F142" s="209">
        <f t="shared" si="7"/>
        <v>0</v>
      </c>
      <c r="G142" s="209">
        <f>IF(ROUND('PR-RAS'!D950+'PR-RAS'!D951,2)&gt;ROUND('PR-RAS'!D602,2),1,0)</f>
        <v>0</v>
      </c>
      <c r="H142" s="209">
        <f>IF(ROUND('PR-RAS'!E950+'PR-RAS'!E951,2)&gt;ROUND('PR-RAS'!E602,2),1,0)</f>
        <v>0</v>
      </c>
      <c r="I142" s="209"/>
      <c r="J142" s="209"/>
      <c r="K142" s="209"/>
      <c r="L142" s="209"/>
      <c r="M142" s="209"/>
      <c r="N142" s="209"/>
      <c r="O142" s="209"/>
      <c r="P142" s="209"/>
    </row>
    <row r="143" spans="1:16" ht="15" customHeight="1" x14ac:dyDescent="0.2">
      <c r="A143" s="74">
        <v>116</v>
      </c>
      <c r="B143" s="75" t="str">
        <f t="shared" si="5"/>
        <v>O.K.</v>
      </c>
      <c r="C143" s="250" t="s">
        <v>3176</v>
      </c>
      <c r="D143" s="73"/>
      <c r="E143" s="209">
        <f t="shared" si="6"/>
        <v>0</v>
      </c>
      <c r="F143" s="209">
        <f t="shared" si="7"/>
        <v>0</v>
      </c>
      <c r="G143" s="209">
        <f>IF(ROUND('PR-RAS'!D952,2)&gt;ROUND('PR-RAS'!D603,2),1,0)</f>
        <v>0</v>
      </c>
      <c r="H143" s="209">
        <f>IF(ROUND('PR-RAS'!E952,2)&gt;ROUND('PR-RAS'!E603,2),1,0)</f>
        <v>0</v>
      </c>
      <c r="I143" s="209"/>
      <c r="J143" s="209"/>
      <c r="K143" s="209"/>
      <c r="L143" s="209"/>
      <c r="M143" s="209"/>
      <c r="N143" s="209"/>
      <c r="O143" s="209"/>
      <c r="P143" s="209"/>
    </row>
    <row r="144" spans="1:16" ht="15" customHeight="1" x14ac:dyDescent="0.2">
      <c r="A144" s="74">
        <v>117</v>
      </c>
      <c r="B144" s="75" t="str">
        <f t="shared" si="5"/>
        <v>O.K.</v>
      </c>
      <c r="C144" s="250" t="s">
        <v>3177</v>
      </c>
      <c r="D144" s="73"/>
      <c r="E144" s="209">
        <f t="shared" si="6"/>
        <v>0</v>
      </c>
      <c r="F144" s="209">
        <f t="shared" si="7"/>
        <v>0</v>
      </c>
      <c r="G144" s="209">
        <f>IF(ROUND(SUM('PR-RAS'!D953:D955),2)&gt;ROUND('PR-RAS'!D606,2),1,0)</f>
        <v>0</v>
      </c>
      <c r="H144" s="209">
        <f>IF(ROUND(SUM('PR-RAS'!E953:E955),2)&gt;ROUND('PR-RAS'!E606,2),1,0)</f>
        <v>0</v>
      </c>
      <c r="I144" s="209"/>
      <c r="J144" s="209"/>
      <c r="K144" s="209"/>
      <c r="L144" s="209"/>
      <c r="M144" s="209"/>
      <c r="N144" s="209"/>
      <c r="O144" s="209"/>
      <c r="P144" s="209"/>
    </row>
    <row r="145" spans="1:16" ht="15" customHeight="1" x14ac:dyDescent="0.2">
      <c r="A145" s="74">
        <v>118</v>
      </c>
      <c r="B145" s="75" t="str">
        <f t="shared" si="5"/>
        <v>O.K.</v>
      </c>
      <c r="C145" s="250" t="s">
        <v>3178</v>
      </c>
      <c r="D145" s="73"/>
      <c r="E145" s="209">
        <f t="shared" si="6"/>
        <v>0</v>
      </c>
      <c r="F145" s="209">
        <f t="shared" si="7"/>
        <v>0</v>
      </c>
      <c r="G145" s="209">
        <f>IF(ROUND('PR-RAS'!D956,2)&gt;ROUND('PR-RAS'!D607,2),1,0)</f>
        <v>0</v>
      </c>
      <c r="H145" s="209">
        <f>IF(ROUND('PR-RAS'!E956,2)&gt;ROUND('PR-RAS'!E607,2),1,0)</f>
        <v>0</v>
      </c>
      <c r="I145" s="209"/>
      <c r="J145" s="209"/>
      <c r="K145" s="209"/>
      <c r="L145" s="209"/>
      <c r="M145" s="209"/>
      <c r="N145" s="209"/>
      <c r="O145" s="209"/>
      <c r="P145" s="209"/>
    </row>
    <row r="146" spans="1:16" ht="15" customHeight="1" x14ac:dyDescent="0.2">
      <c r="A146" s="74">
        <v>119</v>
      </c>
      <c r="B146" s="75" t="str">
        <f t="shared" si="5"/>
        <v>O.K.</v>
      </c>
      <c r="C146" s="250" t="s">
        <v>3179</v>
      </c>
      <c r="D146" s="73"/>
      <c r="E146" s="209">
        <f t="shared" si="6"/>
        <v>0</v>
      </c>
      <c r="F146" s="209">
        <f t="shared" si="7"/>
        <v>0</v>
      </c>
      <c r="G146" s="209">
        <f>IF(ROUND(SUM('PR-RAS'!D957:D958),2)&gt;ROUND('PR-RAS'!D608,2),1,0)</f>
        <v>0</v>
      </c>
      <c r="H146" s="209">
        <f>IF(ROUND(SUM('PR-RAS'!E957:E958),2)&gt;ROUND('PR-RAS'!E608,2),1,0)</f>
        <v>0</v>
      </c>
      <c r="I146" s="209"/>
      <c r="J146" s="209"/>
      <c r="K146" s="209"/>
      <c r="L146" s="209"/>
      <c r="M146" s="209"/>
      <c r="N146" s="209"/>
      <c r="O146" s="209"/>
      <c r="P146" s="209"/>
    </row>
    <row r="147" spans="1:16" ht="15" customHeight="1" x14ac:dyDescent="0.2">
      <c r="A147" s="74">
        <v>120</v>
      </c>
      <c r="B147" s="75" t="str">
        <f t="shared" si="5"/>
        <v>O.K.</v>
      </c>
      <c r="C147" s="250" t="s">
        <v>3180</v>
      </c>
      <c r="D147" s="73"/>
      <c r="E147" s="209">
        <f t="shared" si="6"/>
        <v>0</v>
      </c>
      <c r="F147" s="209">
        <f t="shared" si="7"/>
        <v>0</v>
      </c>
      <c r="G147" s="209">
        <f>IF(ROUND(SUM('PR-RAS'!D959:D961),2)&gt;ROUND('PR-RAS'!D609,2),1,0)</f>
        <v>0</v>
      </c>
      <c r="H147" s="209">
        <f>IF(ROUND(SUM('PR-RAS'!E959:E961),2)&gt;ROUND('PR-RAS'!E609,2),1,0)</f>
        <v>0</v>
      </c>
      <c r="I147" s="209"/>
      <c r="J147" s="209"/>
      <c r="K147" s="209"/>
      <c r="L147" s="209"/>
      <c r="M147" s="209"/>
      <c r="N147" s="209"/>
      <c r="O147" s="209"/>
      <c r="P147" s="209"/>
    </row>
    <row r="148" spans="1:16" ht="15" customHeight="1" x14ac:dyDescent="0.2">
      <c r="A148" s="74">
        <v>121</v>
      </c>
      <c r="B148" s="75" t="str">
        <f t="shared" si="5"/>
        <v>O.K.</v>
      </c>
      <c r="C148" s="250" t="s">
        <v>3181</v>
      </c>
      <c r="D148" s="73"/>
      <c r="E148" s="209">
        <f t="shared" si="6"/>
        <v>0</v>
      </c>
      <c r="F148" s="209">
        <f t="shared" si="7"/>
        <v>0</v>
      </c>
      <c r="G148" s="209">
        <f>IF(ROUND('PR-RAS'!D962,2)&gt;ROUND('PR-RAS'!D610,2),1,0)</f>
        <v>0</v>
      </c>
      <c r="H148" s="209">
        <f>IF(ROUND('PR-RAS'!E962,2)&gt;ROUND('PR-RAS'!E610,2),1,0)</f>
        <v>0</v>
      </c>
      <c r="I148" s="209"/>
      <c r="J148" s="209"/>
      <c r="K148" s="209"/>
      <c r="L148" s="209"/>
      <c r="M148" s="209"/>
      <c r="N148" s="209"/>
      <c r="O148" s="209"/>
      <c r="P148" s="209"/>
    </row>
    <row r="149" spans="1:16" ht="15" customHeight="1" x14ac:dyDescent="0.2">
      <c r="A149" s="74">
        <v>122</v>
      </c>
      <c r="B149" s="75" t="str">
        <f t="shared" ref="B149:B212" si="8">IF(E149=1,"Pogreška",IF(F149=1,"Provjera","O.K."))</f>
        <v>O.K.</v>
      </c>
      <c r="C149" s="250" t="s">
        <v>3182</v>
      </c>
      <c r="D149" s="73"/>
      <c r="E149" s="209">
        <f t="shared" ref="E149:E212" si="9">MAX(G149:K149)</f>
        <v>0</v>
      </c>
      <c r="F149" s="209">
        <f t="shared" ref="F149:F212" si="10">MAX(L149:O149)</f>
        <v>0</v>
      </c>
      <c r="G149" s="209">
        <f>IF(ROUND(SUM('PR-RAS'!D963:D964),2)&gt;ROUND('PR-RAS'!D611,2),1,0)</f>
        <v>0</v>
      </c>
      <c r="H149" s="209">
        <f>IF(ROUND(SUM('PR-RAS'!E963:E964),2)&gt;ROUND('PR-RAS'!E611,2),1,0)</f>
        <v>0</v>
      </c>
      <c r="I149" s="209"/>
      <c r="J149" s="209"/>
      <c r="K149" s="209"/>
      <c r="L149" s="209"/>
      <c r="M149" s="209"/>
      <c r="N149" s="209"/>
      <c r="O149" s="209"/>
      <c r="P149" s="209"/>
    </row>
    <row r="150" spans="1:16" ht="15" customHeight="1" x14ac:dyDescent="0.2">
      <c r="A150" s="74">
        <v>123</v>
      </c>
      <c r="B150" s="75" t="str">
        <f t="shared" si="8"/>
        <v>O.K.</v>
      </c>
      <c r="C150" s="250" t="s">
        <v>3183</v>
      </c>
      <c r="D150" s="73"/>
      <c r="E150" s="209">
        <f t="shared" si="9"/>
        <v>0</v>
      </c>
      <c r="F150" s="209">
        <f t="shared" si="10"/>
        <v>0</v>
      </c>
      <c r="G150" s="209">
        <f>IF(ROUND('PR-RAS'!D965,2)&gt;ROUND('PR-RAS'!D613,2),1,0)</f>
        <v>0</v>
      </c>
      <c r="H150" s="209">
        <f>IF(ROUND('PR-RAS'!E965,2)&gt;ROUND('PR-RAS'!E613,2),1,0)</f>
        <v>0</v>
      </c>
      <c r="I150" s="209"/>
      <c r="J150" s="209"/>
      <c r="K150" s="209"/>
      <c r="L150" s="209"/>
      <c r="M150" s="209"/>
      <c r="N150" s="209"/>
      <c r="O150" s="209"/>
      <c r="P150" s="209"/>
    </row>
    <row r="151" spans="1:16" ht="15" customHeight="1" x14ac:dyDescent="0.2">
      <c r="A151" s="74">
        <v>124</v>
      </c>
      <c r="B151" s="75" t="str">
        <f t="shared" si="8"/>
        <v>O.K.</v>
      </c>
      <c r="C151" s="153" t="s">
        <v>3184</v>
      </c>
      <c r="D151" s="73"/>
      <c r="E151" s="209">
        <f t="shared" si="9"/>
        <v>0</v>
      </c>
      <c r="F151" s="209">
        <f t="shared" si="10"/>
        <v>0</v>
      </c>
      <c r="G151" s="209">
        <f>IF(ROUND('PR-RAS'!D966,2)&gt;ROUND('PR-RAS'!D614,2),1,0)</f>
        <v>0</v>
      </c>
      <c r="H151" s="209">
        <f>IF(ROUND('PR-RAS'!E966,2)&gt;ROUND('PR-RAS'!E614,2),1,0)</f>
        <v>0</v>
      </c>
      <c r="I151" s="209"/>
      <c r="J151" s="209"/>
      <c r="K151" s="209"/>
      <c r="L151" s="209"/>
      <c r="M151" s="209"/>
      <c r="N151" s="209"/>
      <c r="O151" s="209"/>
      <c r="P151" s="209"/>
    </row>
    <row r="152" spans="1:16" ht="15" customHeight="1" x14ac:dyDescent="0.2">
      <c r="A152" s="74">
        <v>125</v>
      </c>
      <c r="B152" s="75" t="str">
        <f t="shared" si="8"/>
        <v>O.K.</v>
      </c>
      <c r="C152" s="250" t="s">
        <v>3185</v>
      </c>
      <c r="D152" s="73"/>
      <c r="E152" s="209">
        <f t="shared" si="9"/>
        <v>0</v>
      </c>
      <c r="F152" s="209">
        <f t="shared" si="10"/>
        <v>0</v>
      </c>
      <c r="G152" s="209">
        <f>IF(ROUND('PR-RAS'!D967,2)&gt;ROUND('PR-RAS'!D615,2),1,0)</f>
        <v>0</v>
      </c>
      <c r="H152" s="209">
        <f>IF(ROUND('PR-RAS'!E967,2)&gt;ROUND('PR-RAS'!E615,2),1,0)</f>
        <v>0</v>
      </c>
      <c r="I152" s="252"/>
      <c r="J152" s="252"/>
      <c r="K152" s="209"/>
      <c r="L152" s="209"/>
      <c r="M152" s="209"/>
      <c r="N152" s="209"/>
      <c r="O152" s="209"/>
      <c r="P152" s="209"/>
    </row>
    <row r="153" spans="1:16" ht="15" customHeight="1" x14ac:dyDescent="0.2">
      <c r="A153" s="74">
        <v>126</v>
      </c>
      <c r="B153" s="75" t="str">
        <f t="shared" si="8"/>
        <v>O.K.</v>
      </c>
      <c r="C153" s="250" t="s">
        <v>3186</v>
      </c>
      <c r="D153" s="73"/>
      <c r="E153" s="209">
        <f t="shared" si="9"/>
        <v>0</v>
      </c>
      <c r="F153" s="209">
        <f t="shared" si="10"/>
        <v>0</v>
      </c>
      <c r="G153" s="209">
        <f>IF(ABS('PR-RAS'!D618-SUM('PR-RAS'!D968:D969))&gt;0.001,1,0)</f>
        <v>0</v>
      </c>
      <c r="H153" s="209">
        <f>IF(ABS('PR-RAS'!E618-SUM('PR-RAS'!E968:E969))&gt;0.001,1,0)</f>
        <v>0</v>
      </c>
      <c r="I153" s="252"/>
      <c r="J153" s="252"/>
      <c r="K153" s="209"/>
      <c r="L153" s="209"/>
      <c r="M153" s="209"/>
      <c r="N153" s="209"/>
      <c r="O153" s="209"/>
      <c r="P153" s="209"/>
    </row>
    <row r="154" spans="1:16" ht="15" customHeight="1" x14ac:dyDescent="0.2">
      <c r="A154" s="74">
        <v>127</v>
      </c>
      <c r="B154" s="75" t="str">
        <f t="shared" si="8"/>
        <v>O.K.</v>
      </c>
      <c r="C154" s="250" t="s">
        <v>3187</v>
      </c>
      <c r="D154" s="73"/>
      <c r="E154" s="209">
        <f t="shared" si="9"/>
        <v>0</v>
      </c>
      <c r="F154" s="209">
        <f t="shared" si="10"/>
        <v>0</v>
      </c>
      <c r="G154" s="209">
        <f>IF(ABS('PR-RAS'!D619-SUM('PR-RAS'!D970:D971))&gt;0.001,1,0)</f>
        <v>0</v>
      </c>
      <c r="H154" s="209">
        <f>IF(ABS('PR-RAS'!E619-SUM('PR-RAS'!E970:E971))&gt;0.001,1,0)</f>
        <v>0</v>
      </c>
      <c r="I154" s="209"/>
      <c r="J154" s="209"/>
      <c r="K154" s="209"/>
      <c r="L154" s="209"/>
      <c r="M154" s="209"/>
      <c r="N154" s="209"/>
      <c r="O154" s="209"/>
      <c r="P154" s="209"/>
    </row>
    <row r="155" spans="1:16" ht="15" customHeight="1" x14ac:dyDescent="0.2">
      <c r="A155" s="74">
        <v>128</v>
      </c>
      <c r="B155" s="75" t="str">
        <f t="shared" si="8"/>
        <v>O.K.</v>
      </c>
      <c r="C155" s="250" t="s">
        <v>3188</v>
      </c>
      <c r="D155" s="73"/>
      <c r="E155" s="209">
        <f t="shared" si="9"/>
        <v>0</v>
      </c>
      <c r="F155" s="209">
        <f t="shared" si="10"/>
        <v>0</v>
      </c>
      <c r="G155" s="209">
        <f>IF(ABS('PR-RAS'!D620-SUM('PR-RAS'!D972:D973))&gt;0.001,1,0)</f>
        <v>0</v>
      </c>
      <c r="H155" s="209">
        <f>IF(ABS('PR-RAS'!E620-SUM('PR-RAS'!E972:E973))&gt;0.001,1,0)</f>
        <v>0</v>
      </c>
      <c r="I155" s="252"/>
      <c r="J155" s="252"/>
      <c r="K155" s="209"/>
      <c r="L155" s="209"/>
      <c r="M155" s="209"/>
      <c r="N155" s="209"/>
      <c r="O155" s="209"/>
      <c r="P155" s="209"/>
    </row>
    <row r="156" spans="1:16" ht="15" customHeight="1" x14ac:dyDescent="0.2">
      <c r="A156" s="74">
        <v>129</v>
      </c>
      <c r="B156" s="75" t="str">
        <f t="shared" si="8"/>
        <v>O.K.</v>
      </c>
      <c r="C156" s="250" t="s">
        <v>3189</v>
      </c>
      <c r="D156" s="73"/>
      <c r="E156" s="209">
        <f t="shared" si="9"/>
        <v>0</v>
      </c>
      <c r="F156" s="209">
        <f t="shared" si="10"/>
        <v>0</v>
      </c>
      <c r="G156" s="209">
        <f>IF(ABS('PR-RAS'!D621-SUM('PR-RAS'!D974:D975))&gt;0.001,1,0)</f>
        <v>0</v>
      </c>
      <c r="H156" s="209">
        <f>IF(ABS('PR-RAS'!E621-SUM('PR-RAS'!E974:E975))&gt;0.001,1,0)</f>
        <v>0</v>
      </c>
      <c r="I156" s="252"/>
      <c r="J156" s="252"/>
      <c r="K156" s="209"/>
      <c r="L156" s="209"/>
      <c r="M156" s="209"/>
      <c r="N156" s="209"/>
      <c r="O156" s="209"/>
      <c r="P156" s="209"/>
    </row>
    <row r="157" spans="1:16" ht="15" customHeight="1" x14ac:dyDescent="0.2">
      <c r="A157" s="74">
        <v>130</v>
      </c>
      <c r="B157" s="75" t="str">
        <f t="shared" si="8"/>
        <v>O.K.</v>
      </c>
      <c r="C157" s="250" t="s">
        <v>3190</v>
      </c>
      <c r="D157" s="73"/>
      <c r="E157" s="209">
        <f t="shared" si="9"/>
        <v>0</v>
      </c>
      <c r="F157" s="209">
        <f t="shared" si="10"/>
        <v>0</v>
      </c>
      <c r="G157" s="209">
        <f>IF(ABS('PR-RAS'!D622-SUM('PR-RAS'!D976:D977))&gt;0.001,1,0)</f>
        <v>0</v>
      </c>
      <c r="H157" s="209">
        <f>IF(ABS('PR-RAS'!E622-SUM('PR-RAS'!E976:E977))&gt;0.001,1,0)</f>
        <v>0</v>
      </c>
      <c r="I157" s="209"/>
      <c r="J157" s="209"/>
      <c r="K157" s="209"/>
      <c r="L157" s="209"/>
      <c r="M157" s="209"/>
      <c r="N157" s="209"/>
      <c r="O157" s="209"/>
      <c r="P157" s="209"/>
    </row>
    <row r="158" spans="1:16" ht="15" customHeight="1" x14ac:dyDescent="0.2">
      <c r="A158" s="74">
        <v>131</v>
      </c>
      <c r="B158" s="75" t="str">
        <f t="shared" si="8"/>
        <v>O.K.</v>
      </c>
      <c r="C158" s="250" t="s">
        <v>3191</v>
      </c>
      <c r="D158" s="73"/>
      <c r="E158" s="209">
        <f t="shared" si="9"/>
        <v>0</v>
      </c>
      <c r="F158" s="209">
        <f t="shared" si="10"/>
        <v>0</v>
      </c>
      <c r="G158" s="209">
        <f>IF(ABS('PR-RAS'!D623-SUM('PR-RAS'!D978:D979))&gt;0.001,1,0)</f>
        <v>0</v>
      </c>
      <c r="H158" s="209">
        <f>IF(ABS('PR-RAS'!E623-SUM('PR-RAS'!E978:E979))&gt;0.001,1,0)</f>
        <v>0</v>
      </c>
      <c r="I158" s="252"/>
      <c r="J158" s="252"/>
      <c r="K158" s="209"/>
      <c r="L158" s="209"/>
      <c r="M158" s="209"/>
      <c r="N158" s="209"/>
      <c r="O158" s="209"/>
      <c r="P158" s="209"/>
    </row>
    <row r="159" spans="1:16" ht="15" customHeight="1" x14ac:dyDescent="0.2">
      <c r="A159" s="74">
        <v>132</v>
      </c>
      <c r="B159" s="75" t="str">
        <f t="shared" si="8"/>
        <v>O.K.</v>
      </c>
      <c r="C159" s="250" t="s">
        <v>3192</v>
      </c>
      <c r="D159" s="73"/>
      <c r="E159" s="209">
        <f t="shared" si="9"/>
        <v>0</v>
      </c>
      <c r="F159" s="209">
        <f t="shared" si="10"/>
        <v>0</v>
      </c>
      <c r="G159" s="209">
        <f>IF(ABS('PR-RAS'!D624-SUM('PR-RAS'!D980:D981))&gt;0.001,1,0)</f>
        <v>0</v>
      </c>
      <c r="H159" s="209">
        <f>IF(ABS('PR-RAS'!E624-SUM('PR-RAS'!E980:E981))&gt;0.001,1,0)</f>
        <v>0</v>
      </c>
      <c r="I159" s="252"/>
      <c r="J159" s="252"/>
      <c r="K159" s="209"/>
      <c r="L159" s="209"/>
      <c r="M159" s="209"/>
      <c r="N159" s="209"/>
      <c r="O159" s="209"/>
      <c r="P159" s="209"/>
    </row>
    <row r="160" spans="1:16" ht="15" customHeight="1" x14ac:dyDescent="0.2">
      <c r="A160" s="74">
        <v>133</v>
      </c>
      <c r="B160" s="75" t="str">
        <f t="shared" si="8"/>
        <v>O.K.</v>
      </c>
      <c r="C160" s="250" t="s">
        <v>3193</v>
      </c>
      <c r="D160" s="73"/>
      <c r="E160" s="209">
        <f t="shared" si="9"/>
        <v>0</v>
      </c>
      <c r="F160" s="209">
        <f t="shared" si="10"/>
        <v>0</v>
      </c>
      <c r="G160" s="209">
        <f>IF(ROUND('PR-RAS'!D982,2)&gt;ROUND('PR-RAS'!D633,2),1,0)</f>
        <v>0</v>
      </c>
      <c r="H160" s="209">
        <f>IF(ROUND('PR-RAS'!E982,2)&gt;ROUND('PR-RAS'!E633,2),1,0)</f>
        <v>0</v>
      </c>
      <c r="I160" s="209"/>
      <c r="J160" s="209"/>
      <c r="K160" s="209"/>
      <c r="L160" s="209"/>
      <c r="M160" s="209"/>
      <c r="N160" s="209"/>
      <c r="O160" s="209"/>
      <c r="P160" s="209"/>
    </row>
    <row r="161" spans="1:16" ht="30" customHeight="1" x14ac:dyDescent="0.2">
      <c r="A161" s="74">
        <v>135</v>
      </c>
      <c r="B161" s="75" t="str">
        <f t="shared" si="8"/>
        <v>O.K.</v>
      </c>
      <c r="C161" s="153" t="s">
        <v>3194</v>
      </c>
      <c r="D161" s="73"/>
      <c r="E161" s="209">
        <f t="shared" si="9"/>
        <v>0</v>
      </c>
      <c r="F161" s="209">
        <f t="shared" si="10"/>
        <v>0</v>
      </c>
      <c r="G161" s="209">
        <f>IF(AND(I3=11,OR(MAX('PR-RAS'!D8:E15)&gt;0,MIN('PR-RAS'!D8:E15)&lt;0)),1,0)</f>
        <v>0</v>
      </c>
      <c r="H161" s="209"/>
      <c r="I161" s="209"/>
      <c r="J161" s="209"/>
      <c r="K161" s="209"/>
      <c r="L161" s="209"/>
      <c r="M161" s="209"/>
      <c r="N161" s="209"/>
      <c r="O161" s="209"/>
      <c r="P161" s="209"/>
    </row>
    <row r="162" spans="1:16" ht="30.75" customHeight="1" x14ac:dyDescent="0.2">
      <c r="A162" s="74">
        <v>136</v>
      </c>
      <c r="B162" s="75" t="str">
        <f t="shared" si="8"/>
        <v>O.K.</v>
      </c>
      <c r="C162" s="253" t="s">
        <v>3195</v>
      </c>
      <c r="D162" s="73"/>
      <c r="E162" s="209">
        <f t="shared" si="9"/>
        <v>0</v>
      </c>
      <c r="F162" s="209">
        <f t="shared" si="10"/>
        <v>0</v>
      </c>
      <c r="G162" s="20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9"/>
      <c r="I162" s="209"/>
      <c r="J162" s="209"/>
      <c r="K162" s="209"/>
      <c r="L162" s="209"/>
      <c r="M162" s="209"/>
      <c r="N162" s="209"/>
      <c r="O162" s="209"/>
      <c r="P162" s="209"/>
    </row>
    <row r="163" spans="1:16" ht="30" customHeight="1" x14ac:dyDescent="0.2">
      <c r="A163" s="74">
        <v>137</v>
      </c>
      <c r="B163" s="75" t="str">
        <f t="shared" si="8"/>
        <v>O.K.</v>
      </c>
      <c r="C163" s="153" t="s">
        <v>3196</v>
      </c>
      <c r="D163" s="73"/>
      <c r="E163" s="209">
        <f t="shared" si="9"/>
        <v>0</v>
      </c>
      <c r="F163" s="209">
        <f t="shared" si="10"/>
        <v>0</v>
      </c>
      <c r="G163" s="209">
        <f>IF(AND(I3=11,MAX('PR-RAS'!D16:E28,'PR-RAS'!D30:E35,'PR-RAS'!D37:E39,'PR-RAS'!D45:E49,'PR-RAS'!D141:E141,'PR-RAS'!D240:E243,'PR-RAS'!D254:E254)&gt;0),1,0)</f>
        <v>0</v>
      </c>
      <c r="H163" s="209"/>
      <c r="I163" s="254"/>
      <c r="J163" s="209"/>
      <c r="K163" s="209"/>
      <c r="L163" s="209"/>
      <c r="M163" s="209"/>
      <c r="N163" s="209"/>
      <c r="O163" s="209"/>
      <c r="P163" s="209"/>
    </row>
    <row r="164" spans="1:16" ht="32.25" customHeight="1" x14ac:dyDescent="0.2">
      <c r="A164" s="74">
        <v>245</v>
      </c>
      <c r="B164" s="75" t="str">
        <f t="shared" si="8"/>
        <v>O.K.</v>
      </c>
      <c r="C164" s="253" t="s">
        <v>3197</v>
      </c>
      <c r="D164" s="73"/>
      <c r="E164" s="209">
        <f t="shared" si="9"/>
        <v>0</v>
      </c>
      <c r="F164" s="209">
        <f t="shared" si="10"/>
        <v>0</v>
      </c>
      <c r="G164" s="209">
        <f>IF(AND(I3=11,MAX('PR-RAS'!D209:E209)&gt;0,O3&lt;&gt;51255,O3&lt;&gt;51263,O3&lt;&gt;51343,O3&lt;&gt;51319,O3&lt;&gt;51298,O3&lt;&gt;51302,O3&lt;&gt;51327,O3&lt;&gt;51335,O3&lt;&gt;51280,O3&lt;&gt;51271),1,0)</f>
        <v>0</v>
      </c>
      <c r="H164" s="209"/>
      <c r="I164" s="254"/>
      <c r="J164" s="209"/>
      <c r="K164" s="209"/>
      <c r="L164" s="209"/>
      <c r="M164" s="209"/>
      <c r="N164" s="209"/>
      <c r="O164" s="209"/>
      <c r="P164" s="209"/>
    </row>
    <row r="165" spans="1:16" ht="30" customHeight="1" x14ac:dyDescent="0.2">
      <c r="A165" s="74">
        <v>138</v>
      </c>
      <c r="B165" s="75" t="str">
        <f t="shared" si="8"/>
        <v>O.K.</v>
      </c>
      <c r="C165" s="153" t="s">
        <v>3198</v>
      </c>
      <c r="D165" s="73"/>
      <c r="E165" s="209">
        <f t="shared" si="9"/>
        <v>0</v>
      </c>
      <c r="F165" s="209">
        <f t="shared" si="10"/>
        <v>0</v>
      </c>
      <c r="G165" s="209">
        <f>IF(AND(I3=11,O3&lt;&gt;47107,MAX('PR-RAS'!D255:E255)&gt;0),1,0)</f>
        <v>0</v>
      </c>
      <c r="H165" s="209">
        <f>IF(AND(I3=11,O3&lt;&gt;47107,MIN('PR-RAS'!D255:E255)&lt;0),1,0)</f>
        <v>0</v>
      </c>
      <c r="I165" s="254"/>
      <c r="J165" s="209"/>
      <c r="K165" s="209"/>
      <c r="L165" s="209"/>
      <c r="M165" s="209"/>
      <c r="N165" s="209"/>
      <c r="O165" s="209"/>
      <c r="P165" s="209"/>
    </row>
    <row r="166" spans="1:16" ht="29.25" customHeight="1" x14ac:dyDescent="0.2">
      <c r="A166" s="74">
        <v>139</v>
      </c>
      <c r="B166" s="75" t="str">
        <f t="shared" si="8"/>
        <v>O.K.</v>
      </c>
      <c r="C166" s="253" t="s">
        <v>3199</v>
      </c>
      <c r="D166" s="73"/>
      <c r="E166" s="209">
        <f t="shared" si="9"/>
        <v>0</v>
      </c>
      <c r="F166" s="209">
        <f t="shared" si="10"/>
        <v>0</v>
      </c>
      <c r="G166" s="209">
        <f>IF(AND(I3=11,MAX('PR-RAS'!D424:E426,'PR-RAS'!D429:E429,'PR-RAS'!D439:E441,'PR-RAS'!D445:E445,'PR-RAS'!D446:E446,'PR-RAS'!D461:E461,'PR-RAS'!D462:E462,'PR-RAS'!D465:E468,'PR-RAS'!D471:E471,'PR-RAS'!D483:E483,'PR-RAS'!D488:E489,'PR-RAS'!D500:E500,'PR-RAS'!D501:E501)&gt;0),1,0)</f>
        <v>0</v>
      </c>
      <c r="H166" s="209">
        <f>IF(AND(I3=11,MIN('PR-RAS'!D424:E426,'PR-RAS'!D429:E429,'PR-RAS'!D439:E441,'PR-RAS'!D445:E445,'PR-RAS'!D446:E446,'PR-RAS'!D461:E461,'PR-RAS'!D462:E462,'PR-RAS'!D465:E468,'PR-RAS'!D471:E471,'PR-RAS'!D483:E483,'PR-RAS'!D488:E489,'PR-RAS'!D500:E500,'PR-RAS'!D501:E501)&lt;0),1,0)</f>
        <v>0</v>
      </c>
      <c r="I166" s="209"/>
      <c r="J166" s="209"/>
      <c r="K166" s="209"/>
      <c r="L166" s="209"/>
      <c r="M166" s="209"/>
      <c r="N166" s="209"/>
      <c r="O166" s="209"/>
      <c r="P166" s="209"/>
    </row>
    <row r="167" spans="1:16" ht="18.75" customHeight="1" x14ac:dyDescent="0.2">
      <c r="A167" s="74">
        <v>246</v>
      </c>
      <c r="B167" s="75" t="str">
        <f t="shared" si="8"/>
        <v>O.K.</v>
      </c>
      <c r="C167" s="253" t="s">
        <v>3200</v>
      </c>
      <c r="D167" s="73"/>
      <c r="E167" s="209">
        <f t="shared" si="9"/>
        <v>0</v>
      </c>
      <c r="F167" s="209">
        <f t="shared" si="10"/>
        <v>0</v>
      </c>
      <c r="G167" s="209">
        <f>IF(AND(I3=11,O3&lt;&gt;174,O3&lt;&gt;713,O3&lt;&gt;999,O3&lt;&gt;1966,O3&lt;&gt;2436,O3&lt;&gt;2452,O3&lt;&gt;20157,O3&lt;&gt;22058,O3&lt;&gt;40834,O3&lt;&gt;47037,MAX('PR-RAS'!D428:E428)&gt;0),1,0)</f>
        <v>0</v>
      </c>
      <c r="H167" s="209"/>
      <c r="I167" s="209"/>
      <c r="J167" s="209"/>
      <c r="K167" s="209"/>
      <c r="L167" s="209"/>
      <c r="M167" s="209"/>
      <c r="N167" s="209"/>
      <c r="O167" s="209"/>
      <c r="P167" s="209"/>
    </row>
    <row r="168" spans="1:16" ht="18.75" customHeight="1" x14ac:dyDescent="0.2">
      <c r="A168" s="74">
        <v>247</v>
      </c>
      <c r="B168" s="75" t="str">
        <f t="shared" si="8"/>
        <v>O.K.</v>
      </c>
      <c r="C168" s="153" t="s">
        <v>3201</v>
      </c>
      <c r="D168" s="73"/>
      <c r="E168" s="209">
        <f t="shared" si="9"/>
        <v>0</v>
      </c>
      <c r="F168" s="209">
        <f t="shared" si="10"/>
        <v>0</v>
      </c>
      <c r="G168" s="209">
        <f>IF(AND(I3=11,O3&lt;&gt;1087,O3&lt;&gt;1222,O3&lt;&gt;6120,O3&lt;&gt;47061,O3&lt;&gt;47107,O3&lt;&gt;51441,O3&lt;&gt;51724,MAX('PR-RAS'!D486:E486)&gt;0),1,0)</f>
        <v>0</v>
      </c>
      <c r="H168" s="209"/>
      <c r="I168" s="209"/>
      <c r="J168" s="209"/>
      <c r="K168" s="209"/>
      <c r="L168" s="209"/>
      <c r="M168" s="209"/>
      <c r="N168" s="209"/>
      <c r="O168" s="209"/>
      <c r="P168" s="209"/>
    </row>
    <row r="169" spans="1:16" ht="18.75" customHeight="1" x14ac:dyDescent="0.2">
      <c r="A169" s="74">
        <v>248</v>
      </c>
      <c r="B169" s="75" t="str">
        <f t="shared" si="8"/>
        <v>O.K.</v>
      </c>
      <c r="C169" s="153" t="s">
        <v>3202</v>
      </c>
      <c r="D169" s="73"/>
      <c r="E169" s="209">
        <f t="shared" si="9"/>
        <v>0</v>
      </c>
      <c r="F169" s="209">
        <f t="shared" si="10"/>
        <v>0</v>
      </c>
      <c r="G169" s="209">
        <f>IF(AND(I3=11,O3&lt;&gt;1079,O3&lt;&gt;1087,O3&lt;&gt;46237,O3&lt;&gt;47053,O3&lt;&gt;47061,MAX('PR-RAS'!D487:E487)&gt;0),1,0)</f>
        <v>0</v>
      </c>
      <c r="H169" s="209"/>
      <c r="I169" s="209"/>
      <c r="J169" s="209"/>
      <c r="K169" s="209"/>
      <c r="L169" s="209"/>
      <c r="M169" s="209"/>
      <c r="N169" s="209"/>
      <c r="O169" s="209"/>
      <c r="P169" s="209"/>
    </row>
    <row r="170" spans="1:16" ht="30" customHeight="1" x14ac:dyDescent="0.2">
      <c r="A170" s="74">
        <v>140</v>
      </c>
      <c r="B170" s="75" t="str">
        <f t="shared" si="8"/>
        <v>O.K.</v>
      </c>
      <c r="C170" s="153" t="s">
        <v>3203</v>
      </c>
      <c r="D170" s="73"/>
      <c r="E170" s="209">
        <f t="shared" si="9"/>
        <v>0</v>
      </c>
      <c r="F170" s="209">
        <f t="shared" si="10"/>
        <v>0</v>
      </c>
      <c r="G170" s="209">
        <f>IF(AND(I3=11,O3&lt;&gt;721,OR(MAX('PR-RAS'!D505:E505,'PR-RAS'!D615:E615)&gt;0,MIN('PR-RAS'!D505:E505,'PR-RAS'!D615:E615)&lt;0)),1,0)</f>
        <v>0</v>
      </c>
      <c r="H170" s="209"/>
      <c r="I170" s="209"/>
      <c r="J170" s="209"/>
      <c r="K170" s="209"/>
      <c r="L170" s="209"/>
      <c r="M170" s="209"/>
      <c r="N170" s="209"/>
      <c r="O170" s="209"/>
      <c r="P170" s="209"/>
    </row>
    <row r="171" spans="1:16" ht="30" customHeight="1" x14ac:dyDescent="0.2">
      <c r="A171" s="74">
        <v>141</v>
      </c>
      <c r="B171" s="75" t="str">
        <f t="shared" si="8"/>
        <v>O.K.</v>
      </c>
      <c r="C171" s="153" t="s">
        <v>3204</v>
      </c>
      <c r="D171" s="73"/>
      <c r="E171" s="209">
        <f t="shared" si="9"/>
        <v>0</v>
      </c>
      <c r="F171" s="209">
        <f t="shared" si="10"/>
        <v>0</v>
      </c>
      <c r="G171" s="209">
        <f>IF(AND(I3=11,O3&lt;&gt;721,MAX('PR-RAS'!D506:E506,'PR-RAS'!D518:E518,'PR-RAS'!D521:E521,'PR-RAS'!D527:E527,'PR-RAS'!D530:E534,'PR-RAS'!D547:E549,'PR-RAS'!D553:E554,'PR-RAS'!D570:E570,'PR-RAS'!D573:E573,'PR-RAS'!D578:E579)&gt;0),1,0)</f>
        <v>0</v>
      </c>
      <c r="H171" s="209"/>
      <c r="I171" s="209"/>
      <c r="J171" s="209"/>
      <c r="K171" s="209"/>
      <c r="L171" s="209"/>
      <c r="M171" s="209"/>
      <c r="N171" s="209"/>
      <c r="O171" s="209"/>
      <c r="P171" s="209"/>
    </row>
    <row r="172" spans="1:16" ht="30" customHeight="1" x14ac:dyDescent="0.2">
      <c r="A172" s="74">
        <v>142</v>
      </c>
      <c r="B172" s="75" t="str">
        <f t="shared" si="8"/>
        <v>O.K.</v>
      </c>
      <c r="C172" s="153" t="s">
        <v>3205</v>
      </c>
      <c r="D172" s="73"/>
      <c r="E172" s="209">
        <f t="shared" si="9"/>
        <v>0</v>
      </c>
      <c r="F172" s="209">
        <f t="shared" si="10"/>
        <v>0</v>
      </c>
      <c r="G172" s="209">
        <f>IF(AND(I3=11,O3&lt;&gt;46237,OR(MAX('PR-RAS'!D589:E589)&gt;0,MIN('PR-RAS'!D589:E589)&lt;0)),1,0)</f>
        <v>0</v>
      </c>
      <c r="H172" s="209"/>
      <c r="I172" s="209"/>
      <c r="J172" s="209"/>
      <c r="K172" s="209"/>
      <c r="L172" s="209"/>
      <c r="M172" s="209"/>
      <c r="N172" s="209"/>
      <c r="O172" s="209"/>
      <c r="P172" s="209"/>
    </row>
    <row r="173" spans="1:16" ht="28.5" customHeight="1" x14ac:dyDescent="0.2">
      <c r="A173" s="74">
        <v>143</v>
      </c>
      <c r="B173" s="75" t="str">
        <f t="shared" si="8"/>
        <v>O.K.</v>
      </c>
      <c r="C173" s="253" t="s">
        <v>3206</v>
      </c>
      <c r="D173" s="73"/>
      <c r="E173" s="209">
        <f t="shared" si="9"/>
        <v>0</v>
      </c>
      <c r="F173" s="209">
        <f t="shared" si="10"/>
        <v>0</v>
      </c>
      <c r="G173" s="209">
        <f>IF(AND(I3=11,O3&lt;&gt;174,O3&lt;&gt;51255,O3&lt;&gt;51263,O3&lt;&gt;51271,O3&lt;&gt;51280,O3&lt;&gt;51298,O3&lt;&gt;51302,O3&lt;&gt;51319,O3&lt;&gt;51327,O3&lt;&gt;51335,O3&lt;&gt;51343,OR(MAX('PR-RAS'!D594:E598)&gt;0,MIN('PR-RAS'!D594:E598)&lt;0)),1,0)</f>
        <v>0</v>
      </c>
      <c r="H173" s="209"/>
      <c r="I173" s="209"/>
      <c r="J173" s="209"/>
      <c r="K173" s="209"/>
      <c r="L173" s="209"/>
      <c r="M173" s="209"/>
      <c r="N173" s="209"/>
      <c r="O173" s="209"/>
      <c r="P173" s="209"/>
    </row>
    <row r="174" spans="1:16" ht="30" customHeight="1" x14ac:dyDescent="0.2">
      <c r="A174" s="74">
        <v>144</v>
      </c>
      <c r="B174" s="75" t="str">
        <f t="shared" si="8"/>
        <v>O.K.</v>
      </c>
      <c r="C174" s="253" t="s">
        <v>3207</v>
      </c>
      <c r="D174" s="73"/>
      <c r="E174" s="209">
        <f t="shared" si="9"/>
        <v>0</v>
      </c>
      <c r="F174" s="209">
        <f t="shared" si="10"/>
        <v>0</v>
      </c>
      <c r="G174" s="209">
        <f>IF(AND(I3=11,MAX('PR-RAS'!D592:E592,'PR-RAS'!D610:E610,'PR-RAS'!D611:E611,'PR-RAS'!D614:E614,'PR-RAS'!D626:E626,'PR-RAS'!D628:E628,'PR-RAS'!D631:E631,'PR-RAS'!D634:E634,'PR-RAS'!D711:E711,'PR-RAS'!D728:E728,'PR-RAS'!D732:E732,'PR-RAS'!D734:E734)&lt;&gt;0),1,0)</f>
        <v>0</v>
      </c>
      <c r="H174" s="209"/>
      <c r="I174" s="209"/>
      <c r="J174" s="209"/>
      <c r="K174" s="209"/>
      <c r="L174" s="209"/>
      <c r="M174" s="209"/>
      <c r="N174" s="209"/>
      <c r="O174" s="209"/>
      <c r="P174" s="209"/>
    </row>
    <row r="175" spans="1:16" ht="21" customHeight="1" x14ac:dyDescent="0.2">
      <c r="A175" s="74">
        <v>249</v>
      </c>
      <c r="B175" s="75" t="str">
        <f t="shared" si="8"/>
        <v>O.K.</v>
      </c>
      <c r="C175" s="153" t="s">
        <v>3208</v>
      </c>
      <c r="D175" s="73"/>
      <c r="E175" s="209">
        <f t="shared" si="9"/>
        <v>0</v>
      </c>
      <c r="F175" s="209">
        <f t="shared" si="10"/>
        <v>0</v>
      </c>
      <c r="G175" s="209">
        <f>IF(AND(OR(AND(I3=11,O3&lt;&gt;46237),AND(I3=12,O3&lt;&gt;47053)),MAX('PR-RAS'!D480:E480)&gt;0),1,0)</f>
        <v>0</v>
      </c>
      <c r="H175" s="209"/>
      <c r="I175" s="209"/>
      <c r="J175" s="209"/>
      <c r="K175" s="209"/>
      <c r="L175" s="209"/>
      <c r="M175" s="209"/>
      <c r="N175" s="209"/>
      <c r="O175" s="209"/>
      <c r="P175" s="209"/>
    </row>
    <row r="176" spans="1:16" ht="30" customHeight="1" x14ac:dyDescent="0.2">
      <c r="A176" s="74">
        <v>145</v>
      </c>
      <c r="B176" s="75" t="str">
        <f t="shared" si="8"/>
        <v>O.K.</v>
      </c>
      <c r="C176" s="153" t="s">
        <v>3209</v>
      </c>
      <c r="D176" s="73"/>
      <c r="E176" s="209">
        <f t="shared" si="9"/>
        <v>0</v>
      </c>
      <c r="F176" s="209">
        <f t="shared" si="10"/>
        <v>0</v>
      </c>
      <c r="G176" s="209">
        <f>IF(AND(I3=12,O3&lt;&gt;47123,OR(MAX('PR-RAS'!D8:E15)&gt;0,MIN('PR-RAS'!D8:E15)&lt;0)),1,0)</f>
        <v>0</v>
      </c>
      <c r="H176" s="209"/>
      <c r="I176" s="209"/>
      <c r="J176" s="209"/>
      <c r="K176" s="209"/>
      <c r="L176" s="209"/>
      <c r="M176" s="209"/>
      <c r="N176" s="209"/>
      <c r="O176" s="209"/>
      <c r="P176" s="209"/>
    </row>
    <row r="177" spans="1:16" ht="26.25" customHeight="1" x14ac:dyDescent="0.2">
      <c r="A177" s="74">
        <v>146</v>
      </c>
      <c r="B177" s="75" t="str">
        <f t="shared" si="8"/>
        <v>O.K.</v>
      </c>
      <c r="C177" s="253" t="s">
        <v>3210</v>
      </c>
      <c r="D177" s="73"/>
      <c r="E177" s="209">
        <f t="shared" si="9"/>
        <v>0</v>
      </c>
      <c r="F177" s="209">
        <f t="shared" si="10"/>
        <v>0</v>
      </c>
      <c r="G177" s="209">
        <f>IF(AND(I3=12,MAX('PR-RAS'!D29:E29,'PR-RAS'!D36:E36)&gt;0,O3&lt;&gt;54181,O3&lt;&gt;51,O3&lt;&gt;47439,O3&lt;&gt;43214,O3&lt;&gt;47037,O3&lt;&gt;721,O3&lt;&gt;47053,O3&lt;&gt;756,O3&lt;&gt;1222,O3&lt;&gt;47107,O3&lt;&gt;47096,O3&lt;&gt;51409,O3&lt;&gt;51441),1,0)</f>
        <v>0</v>
      </c>
      <c r="H177" s="209"/>
      <c r="I177" s="209"/>
      <c r="J177" s="209"/>
      <c r="K177" s="209"/>
      <c r="L177" s="209"/>
      <c r="M177" s="209"/>
      <c r="N177" s="209"/>
      <c r="O177" s="209"/>
      <c r="P177" s="209"/>
    </row>
    <row r="178" spans="1:16" ht="30" customHeight="1" x14ac:dyDescent="0.2">
      <c r="A178" s="74">
        <v>147</v>
      </c>
      <c r="B178" s="75" t="str">
        <f t="shared" si="8"/>
        <v>O.K.</v>
      </c>
      <c r="C178" s="153" t="s">
        <v>3211</v>
      </c>
      <c r="D178" s="73"/>
      <c r="E178" s="209">
        <f t="shared" si="9"/>
        <v>0</v>
      </c>
      <c r="F178" s="209">
        <f t="shared" si="10"/>
        <v>0</v>
      </c>
      <c r="G178" s="209">
        <f>IF(AND(I3=12,MAX('PR-RAS'!D16:E28,'PR-RAS'!D30:E35,'PR-RAS'!D37:E39,'PR-RAS'!D141:E141,'PR-RAS'!D240:E243)&gt;0),1,0)</f>
        <v>0</v>
      </c>
      <c r="H178" s="209"/>
      <c r="I178" s="255"/>
      <c r="J178" s="252"/>
      <c r="K178" s="252"/>
      <c r="L178" s="252"/>
      <c r="M178" s="256"/>
      <c r="N178" s="252"/>
      <c r="O178" s="256"/>
      <c r="P178" s="209"/>
    </row>
    <row r="179" spans="1:16" ht="19.5" customHeight="1" x14ac:dyDescent="0.2">
      <c r="A179" s="74">
        <v>250</v>
      </c>
      <c r="B179" s="75" t="str">
        <f t="shared" si="8"/>
        <v>O.K.</v>
      </c>
      <c r="C179" s="253" t="s">
        <v>3212</v>
      </c>
      <c r="D179" s="73"/>
      <c r="E179" s="209">
        <f t="shared" si="9"/>
        <v>0</v>
      </c>
      <c r="F179" s="209">
        <f t="shared" si="10"/>
        <v>0</v>
      </c>
      <c r="G179" s="209">
        <f>IF(AND(I3=12,O3&lt;&gt;174,O3&lt;&gt;713,O3&lt;&gt;999,O3&lt;&gt;1222,O3&lt;&gt;20157,O3&lt;&gt;40834,O3&lt;&gt;47037,O3&lt;&gt;47061,MAX('PR-RAS'!D428:E428)&gt;0),1,0)</f>
        <v>0</v>
      </c>
      <c r="H179" s="209"/>
      <c r="I179" s="255"/>
      <c r="J179" s="252"/>
      <c r="K179" s="252"/>
      <c r="L179" s="252"/>
      <c r="M179" s="256"/>
      <c r="N179" s="252"/>
      <c r="O179" s="256"/>
      <c r="P179" s="209"/>
    </row>
    <row r="180" spans="1:16" ht="36.75" customHeight="1" x14ac:dyDescent="0.2">
      <c r="A180" s="74">
        <v>148</v>
      </c>
      <c r="B180" s="75" t="str">
        <f t="shared" si="8"/>
        <v>O.K.</v>
      </c>
      <c r="C180" s="253" t="s">
        <v>3213</v>
      </c>
      <c r="D180" s="73"/>
      <c r="E180" s="209">
        <f t="shared" si="9"/>
        <v>0</v>
      </c>
      <c r="F180" s="209">
        <f t="shared" si="10"/>
        <v>0</v>
      </c>
      <c r="G180" s="209">
        <f>IF(AND(I3=12,MAX('PR-RAS'!D429:E429,'PR-RAS'!D449:E449,'PR-RAS'!D463:E465,'PR-RAS'!D468:E471,'PR-RAS'!D488:E488,'PR-RAS'!D489:E489,'PR-RAS'!D518:E518,'PR-RAS'!D521:E521,'PR-RAS'!D527:E527,'PR-RAS'!D530:E534,'PR-RAS'!D547:E549,'PR-RAS'!D553:E554)&gt;0),1,0)</f>
        <v>0</v>
      </c>
      <c r="H180" s="209"/>
      <c r="I180" s="255"/>
      <c r="J180" s="252"/>
      <c r="K180" s="252"/>
      <c r="L180" s="252"/>
      <c r="M180" s="256"/>
      <c r="N180" s="252"/>
      <c r="O180" s="256"/>
      <c r="P180" s="209"/>
    </row>
    <row r="181" spans="1:16" ht="15.75" customHeight="1" x14ac:dyDescent="0.2">
      <c r="A181" s="74">
        <v>251</v>
      </c>
      <c r="B181" s="75" t="str">
        <f t="shared" si="8"/>
        <v>O.K.</v>
      </c>
      <c r="C181" s="153" t="s">
        <v>3214</v>
      </c>
      <c r="D181" s="73"/>
      <c r="E181" s="209">
        <f t="shared" si="9"/>
        <v>0</v>
      </c>
      <c r="F181" s="209">
        <f t="shared" si="10"/>
        <v>0</v>
      </c>
      <c r="G181" s="209">
        <f>IF(AND(I3=12,O3&lt;&gt;1087,O3&lt;&gt;1222,O3&lt;&gt;47061,O3&lt;&gt;47107,O3&lt;&gt;51441,MAX('PR-RAS'!D486:E486)&gt;0),1,0)</f>
        <v>0</v>
      </c>
      <c r="H181" s="209"/>
      <c r="I181" s="255"/>
      <c r="J181" s="252"/>
      <c r="K181" s="252"/>
      <c r="L181" s="252"/>
      <c r="M181" s="256"/>
      <c r="N181" s="252"/>
      <c r="O181" s="256"/>
      <c r="P181" s="209"/>
    </row>
    <row r="182" spans="1:16" ht="15.75" customHeight="1" x14ac:dyDescent="0.2">
      <c r="A182" s="74">
        <v>252</v>
      </c>
      <c r="B182" s="75" t="str">
        <f t="shared" si="8"/>
        <v>O.K.</v>
      </c>
      <c r="C182" s="153" t="s">
        <v>3215</v>
      </c>
      <c r="D182" s="73"/>
      <c r="E182" s="209">
        <f t="shared" si="9"/>
        <v>0</v>
      </c>
      <c r="F182" s="209">
        <f t="shared" si="10"/>
        <v>0</v>
      </c>
      <c r="G182" s="209">
        <f>IF(AND(I3=12,O3&lt;&gt;1079,O3&lt;&gt;1087,O3&lt;&gt;47053,O3&lt;&gt;47061,MAX('PR-RAS'!D487:E487)&gt;0),1,0)</f>
        <v>0</v>
      </c>
      <c r="H182" s="209"/>
      <c r="I182" s="255"/>
      <c r="J182" s="252"/>
      <c r="K182" s="252"/>
      <c r="L182" s="252"/>
      <c r="M182" s="256"/>
      <c r="N182" s="252"/>
      <c r="O182" s="256"/>
      <c r="P182" s="209"/>
    </row>
    <row r="183" spans="1:16" ht="30" customHeight="1" x14ac:dyDescent="0.2">
      <c r="A183" s="74">
        <v>149</v>
      </c>
      <c r="B183" s="75" t="str">
        <f t="shared" si="8"/>
        <v>O.K.</v>
      </c>
      <c r="C183" s="253" t="s">
        <v>3216</v>
      </c>
      <c r="D183" s="73"/>
      <c r="E183" s="209">
        <f t="shared" si="9"/>
        <v>0</v>
      </c>
      <c r="F183" s="209">
        <f t="shared" si="10"/>
        <v>0</v>
      </c>
      <c r="G183" s="209">
        <f>IF(AND(I3=12,MAX('PR-RAS'!D570:E570,'PR-RAS'!D573:E573,'PR-RAS'!D577:E579,'PR-RAS'!D592:E592,'PR-RAS'!D626:E628,'PR-RAS'!D631:E631,'PR-RAS'!D634:E634,'PR-RAS'!D728:E728,'PR-RAS'!D730:E730,'PR-RAS'!D732:E732,'PR-RAS'!D734:E734)&gt;0),1,0)</f>
        <v>0</v>
      </c>
      <c r="H183" s="209"/>
      <c r="I183" s="255"/>
      <c r="J183" s="252"/>
      <c r="K183" s="252"/>
      <c r="L183" s="252"/>
      <c r="M183" s="256"/>
      <c r="N183" s="252"/>
      <c r="O183" s="256"/>
      <c r="P183" s="209"/>
    </row>
    <row r="184" spans="1:16" ht="17.25" customHeight="1" x14ac:dyDescent="0.2">
      <c r="A184" s="74">
        <v>253</v>
      </c>
      <c r="B184" s="75" t="str">
        <f t="shared" si="8"/>
        <v>O.K.</v>
      </c>
      <c r="C184" s="153" t="s">
        <v>3217</v>
      </c>
      <c r="D184" s="73"/>
      <c r="E184" s="209">
        <f t="shared" si="9"/>
        <v>0</v>
      </c>
      <c r="F184" s="209">
        <f t="shared" si="10"/>
        <v>0</v>
      </c>
      <c r="G184" s="209">
        <f>IF(AND(I3=12,O3&lt;&gt;47053,MAX('PR-RAS'!D589:E589)&gt;0),1,0)</f>
        <v>0</v>
      </c>
      <c r="H184" s="209"/>
      <c r="I184" s="255"/>
      <c r="J184" s="252"/>
      <c r="K184" s="252"/>
      <c r="L184" s="252"/>
      <c r="M184" s="256"/>
      <c r="N184" s="252"/>
      <c r="O184" s="256"/>
      <c r="P184" s="209"/>
    </row>
    <row r="185" spans="1:16" ht="17.25" customHeight="1" x14ac:dyDescent="0.2">
      <c r="A185" s="74">
        <v>254</v>
      </c>
      <c r="B185" s="75" t="str">
        <f t="shared" si="8"/>
        <v>O.K.</v>
      </c>
      <c r="C185" s="153" t="s">
        <v>3218</v>
      </c>
      <c r="D185" s="73"/>
      <c r="E185" s="209">
        <f t="shared" si="9"/>
        <v>0</v>
      </c>
      <c r="F185" s="209">
        <f t="shared" si="10"/>
        <v>0</v>
      </c>
      <c r="G185" s="209">
        <f>IF(AND(I3=12,O3&lt;&gt;174,O3&lt;&gt;1087,MAX('PR-RAS'!D596:E598)&gt;0),1,0)</f>
        <v>0</v>
      </c>
      <c r="H185" s="209"/>
      <c r="I185" s="255"/>
      <c r="J185" s="252"/>
      <c r="K185" s="252"/>
      <c r="L185" s="252"/>
      <c r="M185" s="256"/>
      <c r="N185" s="252"/>
      <c r="O185" s="256"/>
      <c r="P185" s="209"/>
    </row>
    <row r="186" spans="1:16" ht="30" customHeight="1" x14ac:dyDescent="0.2">
      <c r="A186" s="74">
        <v>150</v>
      </c>
      <c r="B186" s="75" t="str">
        <f t="shared" si="8"/>
        <v>O.K.</v>
      </c>
      <c r="C186" s="153" t="s">
        <v>3219</v>
      </c>
      <c r="D186" s="73"/>
      <c r="E186" s="209">
        <f t="shared" si="9"/>
        <v>0</v>
      </c>
      <c r="F186" s="209">
        <f t="shared" si="10"/>
        <v>0</v>
      </c>
      <c r="G186" s="209">
        <f>IF(AND(I3=13,MAX('PR-RAS'!D134:E137)&gt;0),1,0)</f>
        <v>0</v>
      </c>
      <c r="H186" s="209"/>
      <c r="I186" s="255"/>
      <c r="J186" s="252"/>
      <c r="K186" s="252"/>
      <c r="L186" s="252"/>
      <c r="M186" s="252"/>
      <c r="N186" s="209"/>
      <c r="O186" s="209"/>
      <c r="P186" s="209"/>
    </row>
    <row r="187" spans="1:16" ht="30" customHeight="1" x14ac:dyDescent="0.2">
      <c r="A187" s="74">
        <v>151</v>
      </c>
      <c r="B187" s="75" t="str">
        <f t="shared" si="8"/>
        <v>O.K.</v>
      </c>
      <c r="C187" s="253" t="s">
        <v>3220</v>
      </c>
      <c r="D187" s="73"/>
      <c r="E187" s="209">
        <f t="shared" si="9"/>
        <v>0</v>
      </c>
      <c r="F187" s="209">
        <f t="shared" si="10"/>
        <v>0</v>
      </c>
      <c r="G187" s="209">
        <f>IF(AND(I3=21,MAX('PR-RAS'!D8:E39,'PR-RAS'!D45:E49,'PR-RAS'!D141:E141,'PR-RAS'!D175:E175,'PR-RAS'!D203:E203,'PR-RAS'!D240:E243,'PR-RAS'!D253:E258,'PR-RAS'!D349:E349,'PR-RAS'!D377:E377)&gt;0),1,0)</f>
        <v>0</v>
      </c>
      <c r="H187" s="209"/>
      <c r="I187" s="252"/>
      <c r="J187" s="255"/>
      <c r="K187" s="252"/>
      <c r="L187" s="252"/>
      <c r="M187" s="252"/>
      <c r="N187" s="209"/>
      <c r="O187" s="209"/>
      <c r="P187" s="209"/>
    </row>
    <row r="188" spans="1:16" ht="30" customHeight="1" x14ac:dyDescent="0.2">
      <c r="A188" s="74">
        <v>152</v>
      </c>
      <c r="B188" s="75" t="str">
        <f t="shared" si="8"/>
        <v>O.K.</v>
      </c>
      <c r="C188" s="153" t="s">
        <v>3221</v>
      </c>
      <c r="D188" s="73"/>
      <c r="E188" s="209">
        <f t="shared" si="9"/>
        <v>0</v>
      </c>
      <c r="F188" s="209">
        <f t="shared" si="10"/>
        <v>0</v>
      </c>
      <c r="G188" s="209">
        <f>IF(AND(I3=21,MAX('PR-RAS'!D401:E401,'PR-RAS'!D422:E426,'PR-RAS'!D429:E429,'PR-RAS'!D439:E441,'PR-RAS'!D445:E446,'PR-RAS'!D460:E462,'PR-RAS'!D465:E468,'PR-RAS'!D471:E471,'PR-RAS'!D480:E480,'PR-RAS'!D483:E483,'PR-RAS'!D485:E489)&gt;0),1,0)</f>
        <v>0</v>
      </c>
      <c r="H188" s="209"/>
      <c r="I188" s="252"/>
      <c r="J188" s="255"/>
      <c r="K188" s="252"/>
      <c r="L188" s="252"/>
      <c r="M188" s="252"/>
      <c r="N188" s="209"/>
      <c r="O188" s="209"/>
      <c r="P188" s="209"/>
    </row>
    <row r="189" spans="1:16" ht="30" customHeight="1" x14ac:dyDescent="0.2">
      <c r="A189" s="74">
        <v>153</v>
      </c>
      <c r="B189" s="75" t="str">
        <f t="shared" si="8"/>
        <v>O.K.</v>
      </c>
      <c r="C189" s="153" t="s">
        <v>3222</v>
      </c>
      <c r="D189" s="73"/>
      <c r="E189" s="209">
        <f t="shared" si="9"/>
        <v>0</v>
      </c>
      <c r="F189" s="209">
        <f t="shared" si="10"/>
        <v>0</v>
      </c>
      <c r="G189" s="209">
        <f>IF(AND(I3=21,MAX('PR-RAS'!D499:E501,'PR-RAS'!D505:E506,'PR-RAS'!D518:E518,'PR-RAS'!D521:E524,'PR-RAS'!D527:E527,'PR-RAS'!D530:E534,'PR-RAS'!D537:E537,'PR-RAS'!D547:E549,'PR-RAS'!D553:E554,'PR-RAS'!D570:E570,'PR-RAS'!D573:E579,'PR-RAS'!D589:E589,'PR-RAS'!D592:E592)&gt;0),1,0)</f>
        <v>0</v>
      </c>
      <c r="H189" s="209"/>
      <c r="I189" s="252"/>
      <c r="J189" s="255"/>
      <c r="K189" s="252"/>
      <c r="L189" s="252"/>
      <c r="M189" s="252"/>
      <c r="N189" s="209"/>
      <c r="O189" s="209"/>
      <c r="P189" s="209"/>
    </row>
    <row r="190" spans="1:16" ht="30" customHeight="1" x14ac:dyDescent="0.2">
      <c r="A190" s="74">
        <v>154</v>
      </c>
      <c r="B190" s="75" t="str">
        <f t="shared" si="8"/>
        <v>O.K.</v>
      </c>
      <c r="C190" s="153" t="s">
        <v>3223</v>
      </c>
      <c r="D190" s="73"/>
      <c r="E190" s="209">
        <f t="shared" si="9"/>
        <v>0</v>
      </c>
      <c r="F190" s="209">
        <f t="shared" si="10"/>
        <v>0</v>
      </c>
      <c r="G190" s="209">
        <f>IF(AND(I3=21,MAX('PR-RAS'!D594:E598,'PR-RAS'!D609:E611,'PR-RAS'!D615:E616,'PR-RAS'!D626:E628,'PR-RAS'!D631:E631,'PR-RAS'!D634:E634,'PR-RAS'!D711:E711,'PR-RAS'!D728:E728,'PR-RAS'!D730:E730,'PR-RAS'!D732:E732,'PR-RAS'!D734:E734)&gt;0),1,0)</f>
        <v>0</v>
      </c>
      <c r="H190" s="209"/>
      <c r="I190" s="252"/>
      <c r="J190" s="255"/>
      <c r="K190" s="252"/>
      <c r="L190" s="252"/>
      <c r="M190" s="252"/>
      <c r="N190" s="209"/>
      <c r="O190" s="209"/>
      <c r="P190" s="209"/>
    </row>
    <row r="191" spans="1:16" ht="30" customHeight="1" x14ac:dyDescent="0.2">
      <c r="A191" s="74">
        <v>255</v>
      </c>
      <c r="B191" s="75" t="str">
        <f t="shared" si="8"/>
        <v>O.K.</v>
      </c>
      <c r="C191" s="153" t="s">
        <v>3224</v>
      </c>
      <c r="D191" s="73"/>
      <c r="E191" s="209">
        <f t="shared" si="9"/>
        <v>0</v>
      </c>
      <c r="F191" s="209">
        <f t="shared" si="10"/>
        <v>0</v>
      </c>
      <c r="G191" s="252">
        <f>IF(AND(OR(I3=21,I3=31,I3=41,I3=42),MAX('PR-RAS'!D653:E653,'PR-RAS'!D655:E655)&gt;0),1,0)</f>
        <v>0</v>
      </c>
      <c r="H191" s="209"/>
      <c r="I191" s="252"/>
      <c r="J191" s="255"/>
      <c r="K191" s="252"/>
      <c r="M191" s="252"/>
      <c r="N191" s="209"/>
      <c r="O191" s="209"/>
      <c r="P191" s="209"/>
    </row>
    <row r="192" spans="1:16" ht="51" customHeight="1" x14ac:dyDescent="0.2">
      <c r="A192" s="74">
        <v>256</v>
      </c>
      <c r="B192" s="75" t="str">
        <f t="shared" si="8"/>
        <v>O.K.</v>
      </c>
      <c r="C192" s="153" t="s">
        <v>3225</v>
      </c>
      <c r="D192" s="73"/>
      <c r="E192" s="209">
        <f t="shared" si="9"/>
        <v>0</v>
      </c>
      <c r="F192" s="209">
        <f t="shared" si="10"/>
        <v>0</v>
      </c>
      <c r="G192" s="209">
        <f>IF(AND(I3=22,OR('PR-RAS'!D654&gt;'PR-RAS'!D653,'PR-RAS'!E654&gt;'PR-RAS'!E653,'PR-RAS'!D656&gt;'PR-RAS'!D655,'PR-RAS'!E656&gt;'PR-RAS'!E655)),1,0)</f>
        <v>0</v>
      </c>
      <c r="H192" s="209"/>
      <c r="I192" s="252"/>
      <c r="J192" s="255"/>
      <c r="K192" s="252"/>
      <c r="L192" s="252">
        <f>IF(AND(MAX('PR-RAS'!D654:E654,'PR-RAS'!D656:E656)&gt;0,I3=22),1,0)</f>
        <v>0</v>
      </c>
      <c r="M192" s="252"/>
      <c r="N192" s="209"/>
      <c r="O192" s="209"/>
      <c r="P192" s="209"/>
    </row>
    <row r="193" spans="1:16" ht="30" customHeight="1" x14ac:dyDescent="0.2">
      <c r="A193" s="74">
        <v>155</v>
      </c>
      <c r="B193" s="75" t="str">
        <f t="shared" si="8"/>
        <v>O.K.</v>
      </c>
      <c r="C193" s="153" t="s">
        <v>3226</v>
      </c>
      <c r="D193" s="73"/>
      <c r="E193" s="209">
        <f t="shared" si="9"/>
        <v>0</v>
      </c>
      <c r="F193" s="209">
        <f t="shared" si="10"/>
        <v>0</v>
      </c>
      <c r="G193" s="209">
        <f>IF(AND(I3=22,MAX('PR-RAS'!D17:E22,'PR-RAS'!D26:E26,'PR-RAS'!D30:E30,'PR-RAS'!D32:E32,'PR-RAS'!D37:E39,'PR-RAS'!D45:E49,'PR-RAS'!D134:E138,'PR-RAS'!D141:E141,'PR-RAS'!D175:E175,'PR-RAS'!D253:E258)&gt;0),1,0)</f>
        <v>0</v>
      </c>
      <c r="H193" s="209"/>
      <c r="I193" s="252"/>
      <c r="J193" s="255"/>
      <c r="K193" s="252"/>
      <c r="L193" s="252"/>
      <c r="M193" s="252"/>
      <c r="N193" s="209"/>
      <c r="O193" s="209"/>
      <c r="P193" s="209"/>
    </row>
    <row r="194" spans="1:16" ht="30" customHeight="1" x14ac:dyDescent="0.2">
      <c r="A194" s="74">
        <v>156</v>
      </c>
      <c r="B194" s="75" t="str">
        <f t="shared" si="8"/>
        <v>O.K.</v>
      </c>
      <c r="C194" s="153" t="s">
        <v>3227</v>
      </c>
      <c r="D194" s="73"/>
      <c r="E194" s="209">
        <f t="shared" si="9"/>
        <v>0</v>
      </c>
      <c r="F194" s="209">
        <f t="shared" si="10"/>
        <v>0</v>
      </c>
      <c r="G194" s="209">
        <f>IF(AND(I3=22,MAX('PR-RAS'!D349:E349,'PR-RAS'!D377:E377,'PR-RAS'!D401:E401,'PR-RAS'!D422:E426,'PR-RAS'!D429:E429,'PR-RAS'!D439:E441,'PR-RAS'!D445:E446,'PR-RAS'!D460:E462,'PR-RAS'!D465:E468,'PR-RAS'!D471:E471,'PR-RAS'!D480:E480,'PR-RAS'!D483:E483)&gt;0),1,0)</f>
        <v>0</v>
      </c>
      <c r="H194" s="209"/>
      <c r="I194" s="252"/>
      <c r="J194" s="255"/>
      <c r="K194" s="252"/>
      <c r="L194" s="252"/>
      <c r="M194" s="252"/>
      <c r="N194" s="209"/>
      <c r="O194" s="209"/>
      <c r="P194" s="209"/>
    </row>
    <row r="195" spans="1:16" ht="28.5" customHeight="1" x14ac:dyDescent="0.2">
      <c r="A195" s="74">
        <v>157</v>
      </c>
      <c r="B195" s="75" t="str">
        <f t="shared" si="8"/>
        <v>O.K.</v>
      </c>
      <c r="C195" s="153" t="s">
        <v>3228</v>
      </c>
      <c r="D195" s="73"/>
      <c r="E195" s="209">
        <f t="shared" si="9"/>
        <v>0</v>
      </c>
      <c r="F195" s="209">
        <f t="shared" si="10"/>
        <v>0</v>
      </c>
      <c r="G195" s="209">
        <f>IF(AND(I3=22,MAX('PR-RAS'!D499:E501,'PR-RAS'!D505:E506,'PR-RAS'!D518:E518,'PR-RAS'!D521:E524,'PR-RAS'!D527:E527,'PR-RAS'!D530:E534,'PR-RAS'!D537:E537,'PR-RAS'!D547:E549,'PR-RAS'!D553:E554,'PR-RAS'!D570:E570,'PR-RAS'!D573:E579,'PR-RAS'!D589:E589,'PR-RAS'!D592:E592)&gt;0),1,0)</f>
        <v>0</v>
      </c>
      <c r="H195" s="209"/>
      <c r="I195" s="252"/>
      <c r="J195" s="255"/>
      <c r="K195" s="252"/>
      <c r="L195" s="252"/>
      <c r="M195" s="252"/>
      <c r="N195" s="209"/>
      <c r="O195" s="209"/>
      <c r="P195" s="209"/>
    </row>
    <row r="196" spans="1:16" ht="30" customHeight="1" x14ac:dyDescent="0.2">
      <c r="A196" s="74">
        <v>158</v>
      </c>
      <c r="B196" s="75" t="str">
        <f t="shared" si="8"/>
        <v>O.K.</v>
      </c>
      <c r="C196" s="253" t="s">
        <v>3229</v>
      </c>
      <c r="D196" s="73"/>
      <c r="E196" s="209">
        <f t="shared" si="9"/>
        <v>0</v>
      </c>
      <c r="F196" s="209">
        <f t="shared" si="10"/>
        <v>0</v>
      </c>
      <c r="G196" s="209">
        <f>IF(AND(I3=22,MAX('PR-RAS'!D609:E611,'PR-RAS'!D615:E615,'PR-RAS'!D616:E616,'PR-RAS'!D626:E628,'PR-RAS'!D631:E631,'PR-RAS'!D634:E634,'PR-RAS'!D711:E711,'PR-RAS'!D728:E728,'PR-RAS'!D732:E732,'PR-RAS'!D734:E734)&gt;0),1,0)</f>
        <v>0</v>
      </c>
      <c r="H196" s="209"/>
      <c r="I196" s="252"/>
      <c r="J196" s="255"/>
      <c r="K196" s="252"/>
      <c r="L196" s="252"/>
      <c r="M196" s="252"/>
      <c r="N196" s="209"/>
      <c r="O196" s="209"/>
      <c r="P196" s="209"/>
    </row>
    <row r="197" spans="1:16" ht="30.75" customHeight="1" x14ac:dyDescent="0.2">
      <c r="A197" s="74">
        <v>159</v>
      </c>
      <c r="B197" s="75" t="str">
        <f t="shared" si="8"/>
        <v>O.K.</v>
      </c>
      <c r="C197" s="153" t="s">
        <v>3230</v>
      </c>
      <c r="D197" s="73"/>
      <c r="E197" s="209">
        <f t="shared" si="9"/>
        <v>0</v>
      </c>
      <c r="F197" s="209">
        <f t="shared" si="10"/>
        <v>0</v>
      </c>
      <c r="G197" s="209">
        <f>IF(AND(I3=23,MAX('PR-RAS'!D17:E22,'PR-RAS'!D26:E26,'PR-RAS'!D30:E30,'PR-RAS'!D32:E32,'PR-RAS'!D37:E39,'PR-RAS'!D45:E49,'PR-RAS'!D77:E81,'PR-RAS'!D134:E137,'PR-RAS'!D175:E175,'PR-RAS'!D240:E243,'PR-RAS'!D247:E251,'PR-RAS'!D253:E258,'PR-RAS'!D349:E349,'PR-RAS'!D377:E377,'PR-RAS'!D401:E401)&gt;0),1,0)</f>
        <v>0</v>
      </c>
      <c r="H197" s="209"/>
      <c r="I197" s="252"/>
      <c r="J197" s="255"/>
      <c r="K197" s="255"/>
      <c r="L197" s="252"/>
      <c r="M197" s="252"/>
      <c r="N197" s="252"/>
      <c r="O197" s="209"/>
      <c r="P197" s="209"/>
    </row>
    <row r="198" spans="1:16" ht="30" customHeight="1" x14ac:dyDescent="0.2">
      <c r="A198" s="74">
        <v>160</v>
      </c>
      <c r="B198" s="75" t="str">
        <f t="shared" si="8"/>
        <v>O.K.</v>
      </c>
      <c r="C198" s="153" t="s">
        <v>3231</v>
      </c>
      <c r="D198" s="73"/>
      <c r="E198" s="209">
        <f t="shared" si="9"/>
        <v>0</v>
      </c>
      <c r="F198" s="209">
        <f t="shared" si="10"/>
        <v>0</v>
      </c>
      <c r="G198" s="209">
        <f>IF(AND(I3=23,MAX('PR-RAS'!D422:E426,'PR-RAS'!D429:E429,'PR-RAS'!D439:E441,'PR-RAS'!D445:E446,'PR-RAS'!D460:E462,'PR-RAS'!D465:E468,'PR-RAS'!D471:E471,'PR-RAS'!D480:E480,'PR-RAS'!D483:E483,'PR-RAS'!D499:E501,'PR-RAS'!D505:E506)&gt;0),1,0)</f>
        <v>0</v>
      </c>
      <c r="H198" s="209"/>
      <c r="I198" s="252"/>
      <c r="J198" s="255"/>
      <c r="K198" s="255"/>
      <c r="L198" s="252"/>
      <c r="M198" s="252"/>
      <c r="N198" s="252"/>
      <c r="O198" s="209"/>
      <c r="P198" s="209"/>
    </row>
    <row r="199" spans="1:16" ht="30" customHeight="1" x14ac:dyDescent="0.2">
      <c r="A199" s="74">
        <v>161</v>
      </c>
      <c r="B199" s="75" t="str">
        <f t="shared" si="8"/>
        <v>O.K.</v>
      </c>
      <c r="C199" s="153" t="s">
        <v>3232</v>
      </c>
      <c r="D199" s="73"/>
      <c r="E199" s="209">
        <f t="shared" si="9"/>
        <v>0</v>
      </c>
      <c r="F199" s="209">
        <f t="shared" si="10"/>
        <v>0</v>
      </c>
      <c r="G199" s="209">
        <f>IF(AND(I3=23,MAX('PR-RAS'!D518:E518,'PR-RAS'!D521:E524,'PR-RAS'!D527:E527,'PR-RAS'!D530:E534,'PR-RAS'!D537:E537,'PR-RAS'!D547:E549,'PR-RAS'!D553:E554,'PR-RAS'!D570:E570,'PR-RAS'!D573:E579,'PR-RAS'!D589:E589,'PR-RAS'!D592:E592)&gt;0),1,0)</f>
        <v>0</v>
      </c>
      <c r="H199" s="209"/>
      <c r="I199" s="252"/>
      <c r="J199" s="255"/>
      <c r="K199" s="255"/>
      <c r="L199" s="252"/>
      <c r="M199" s="252"/>
      <c r="N199" s="252"/>
      <c r="O199" s="209"/>
      <c r="P199" s="209"/>
    </row>
    <row r="200" spans="1:16" ht="30" customHeight="1" x14ac:dyDescent="0.2">
      <c r="A200" s="74">
        <v>162</v>
      </c>
      <c r="B200" s="75" t="str">
        <f t="shared" si="8"/>
        <v>O.K.</v>
      </c>
      <c r="C200" s="153" t="s">
        <v>3233</v>
      </c>
      <c r="D200" s="73"/>
      <c r="E200" s="209">
        <f t="shared" si="9"/>
        <v>0</v>
      </c>
      <c r="F200" s="209">
        <f t="shared" si="10"/>
        <v>0</v>
      </c>
      <c r="G200" s="209">
        <f>IF(AND(I3=23,MAX('PR-RAS'!D609:E611,'PR-RAS'!D615:E616,'PR-RAS'!D626:E628,'PR-RAS'!D631:E631,'PR-RAS'!D634:E634,'PR-RAS'!D711:E711,'PR-RAS'!D728:E728,'PR-RAS'!D730:E730,'PR-RAS'!D732:E732,'PR-RAS'!D734:E734)&gt;0),1,0)</f>
        <v>0</v>
      </c>
      <c r="H200" s="209"/>
      <c r="I200" s="252"/>
      <c r="J200" s="255"/>
      <c r="K200" s="255"/>
      <c r="L200" s="252"/>
      <c r="M200" s="252"/>
      <c r="N200" s="252"/>
      <c r="O200" s="209"/>
      <c r="P200" s="209"/>
    </row>
    <row r="201" spans="1:16" ht="30" customHeight="1" x14ac:dyDescent="0.2">
      <c r="A201" s="74">
        <v>163</v>
      </c>
      <c r="B201" s="75" t="str">
        <f t="shared" si="8"/>
        <v>O.K.</v>
      </c>
      <c r="C201" s="153" t="s">
        <v>3234</v>
      </c>
      <c r="D201" s="73"/>
      <c r="E201" s="209">
        <f t="shared" si="9"/>
        <v>0</v>
      </c>
      <c r="F201" s="209">
        <f t="shared" si="10"/>
        <v>0</v>
      </c>
      <c r="G201" s="209">
        <f>IF(AND(I3=31,MAX('PR-RAS'!D8:E39,'PR-RAS'!D45:E49,'PR-RAS'!D141:E141,'PR-RAS'!D175:E175,'PR-RAS'!D203:E203,'PR-RAS'!D240:E243,'PR-RAS'!D253:E258,'PR-RAS'!D349:E349,'PR-RAS'!D377:E377,'PR-RAS'!D401:E401)&gt;0),1,0)</f>
        <v>0</v>
      </c>
      <c r="H201" s="209"/>
      <c r="I201" s="252"/>
      <c r="J201" s="255"/>
      <c r="K201" s="252"/>
      <c r="L201" s="252"/>
      <c r="M201" s="252"/>
      <c r="N201" s="209"/>
      <c r="O201" s="209"/>
      <c r="P201" s="209"/>
    </row>
    <row r="202" spans="1:16" ht="30" customHeight="1" x14ac:dyDescent="0.2">
      <c r="A202" s="74">
        <v>164</v>
      </c>
      <c r="B202" s="75" t="str">
        <f t="shared" si="8"/>
        <v>O.K.</v>
      </c>
      <c r="C202" s="153" t="s">
        <v>3235</v>
      </c>
      <c r="D202" s="73"/>
      <c r="E202" s="209">
        <f t="shared" si="9"/>
        <v>0</v>
      </c>
      <c r="F202" s="209">
        <f t="shared" si="10"/>
        <v>0</v>
      </c>
      <c r="G202" s="209">
        <f>IF(AND(I3=31,MAX('PR-RAS'!D422:E426,'PR-RAS'!D429:E429,'PR-RAS'!D439:E441,'PR-RAS'!D445:E446,'PR-RAS'!D460:E462,'PR-RAS'!D465:E468,'PR-RAS'!D471:E471,'PR-RAS'!D483:E483,'PR-RAS'!D485:E489,'PR-RAS'!D499:E501,'PR-RAS'!D505:E506)&gt;0),1,0)</f>
        <v>0</v>
      </c>
      <c r="H202" s="209"/>
      <c r="I202" s="252"/>
      <c r="J202" s="255"/>
      <c r="K202" s="252"/>
      <c r="L202" s="252"/>
      <c r="M202" s="252"/>
      <c r="N202" s="209"/>
      <c r="O202" s="209"/>
      <c r="P202" s="209"/>
    </row>
    <row r="203" spans="1:16" ht="30" customHeight="1" x14ac:dyDescent="0.2">
      <c r="A203" s="74">
        <v>165</v>
      </c>
      <c r="B203" s="75" t="str">
        <f t="shared" si="8"/>
        <v>O.K.</v>
      </c>
      <c r="C203" s="153" t="s">
        <v>3236</v>
      </c>
      <c r="D203" s="73"/>
      <c r="E203" s="209">
        <f t="shared" si="9"/>
        <v>0</v>
      </c>
      <c r="F203" s="209">
        <f t="shared" si="10"/>
        <v>0</v>
      </c>
      <c r="G203" s="209">
        <f>IF(AND(I3=31,MAX('PR-RAS'!D518:E518,'PR-RAS'!D521:E524,'PR-RAS'!D527:E527,'PR-RAS'!D530:E534,'PR-RAS'!D537:E537,'PR-RAS'!D547:E549,'PR-RAS'!D553:E554,'PR-RAS'!D570:E570,'PR-RAS'!D573:E579,'PR-RAS'!D589:E589,'PR-RAS'!D592:E592,'PR-RAS'!D594:E598)&gt;0),1,0)</f>
        <v>0</v>
      </c>
      <c r="H203" s="209"/>
      <c r="I203" s="252"/>
      <c r="J203" s="255"/>
      <c r="K203" s="252"/>
      <c r="L203" s="252"/>
      <c r="M203" s="252"/>
      <c r="N203" s="209"/>
      <c r="O203" s="209"/>
      <c r="P203" s="209"/>
    </row>
    <row r="204" spans="1:16" ht="30" customHeight="1" x14ac:dyDescent="0.2">
      <c r="A204" s="74">
        <v>166</v>
      </c>
      <c r="B204" s="75" t="str">
        <f t="shared" si="8"/>
        <v>O.K.</v>
      </c>
      <c r="C204" s="153" t="s">
        <v>3237</v>
      </c>
      <c r="D204" s="73"/>
      <c r="E204" s="209">
        <f t="shared" si="9"/>
        <v>0</v>
      </c>
      <c r="F204" s="209">
        <f t="shared" si="10"/>
        <v>0</v>
      </c>
      <c r="G204" s="209">
        <f>IF(AND(I3=31,MAX('PR-RAS'!D615:E616,'PR-RAS'!D626:E628,'PR-RAS'!D631:E631,'PR-RAS'!D634:E634,'PR-RAS'!D653:E653,'PR-RAS'!D655:E655,'PR-RAS'!D711:E711,'PR-RAS'!D728:E728,'PR-RAS'!D730:E730,'PR-RAS'!D732:E732,'PR-RAS'!D734:E734)&gt;0),1,0)</f>
        <v>0</v>
      </c>
      <c r="H204" s="209"/>
      <c r="I204" s="252"/>
      <c r="J204" s="255"/>
      <c r="K204" s="252"/>
      <c r="L204" s="252"/>
      <c r="M204" s="252"/>
      <c r="N204" s="209"/>
      <c r="O204" s="209"/>
      <c r="P204" s="209"/>
    </row>
    <row r="205" spans="1:16" ht="30" customHeight="1" x14ac:dyDescent="0.2">
      <c r="A205" s="74">
        <v>167</v>
      </c>
      <c r="B205" s="75" t="str">
        <f t="shared" si="8"/>
        <v>O.K.</v>
      </c>
      <c r="C205" s="153" t="s">
        <v>3238</v>
      </c>
      <c r="D205" s="73"/>
      <c r="E205" s="209">
        <f t="shared" si="9"/>
        <v>0</v>
      </c>
      <c r="F205" s="209">
        <f t="shared" si="10"/>
        <v>0</v>
      </c>
      <c r="G205" s="209">
        <f>IF(AND(I3=41,O3&lt;&gt;23911,O3&lt;&gt;25843,MAX('PR-RAS'!D134:E137)&gt;0),1,0)</f>
        <v>0</v>
      </c>
      <c r="H205" s="209"/>
      <c r="I205" s="252"/>
      <c r="J205" s="255"/>
      <c r="K205" s="252"/>
      <c r="L205" s="252"/>
      <c r="M205" s="252"/>
      <c r="N205" s="209"/>
      <c r="O205" s="209"/>
      <c r="P205" s="209"/>
    </row>
    <row r="206" spans="1:16" ht="30" customHeight="1" x14ac:dyDescent="0.2">
      <c r="A206" s="74">
        <v>168</v>
      </c>
      <c r="B206" s="75" t="str">
        <f t="shared" si="8"/>
        <v>O.K.</v>
      </c>
      <c r="C206" s="253" t="s">
        <v>3239</v>
      </c>
      <c r="D206" s="73"/>
      <c r="E206" s="209">
        <f t="shared" si="9"/>
        <v>0</v>
      </c>
      <c r="F206" s="209">
        <f t="shared" si="10"/>
        <v>0</v>
      </c>
      <c r="G206" s="209">
        <f>IF(AND(I3=41,MAX('PR-RAS'!D8:E39,'PR-RAS'!D138:E138,'PR-RAS'!D141:E141,'PR-RAS'!D175:E175,'PR-RAS'!D349:E349,'PR-RAS'!D401:E401,'PR-RAS'!D422:E426,'PR-RAS'!D429:E429,'PR-RAS'!D439:E441,'PR-RAS'!D445:E445,'PR-RAS'!D446:E446,'PR-RAS'!D460:E462,'PR-RAS'!D465:E468,'PR-RAS'!D487:E489)&gt;0),1,0)</f>
        <v>0</v>
      </c>
      <c r="H206" s="209"/>
      <c r="I206" s="252"/>
      <c r="J206" s="255"/>
      <c r="K206" s="252"/>
      <c r="L206" s="252"/>
      <c r="M206" s="252"/>
      <c r="N206" s="209"/>
      <c r="O206" s="209"/>
      <c r="P206" s="209"/>
    </row>
    <row r="207" spans="1:16" ht="30" customHeight="1" x14ac:dyDescent="0.2">
      <c r="A207" s="74">
        <v>169</v>
      </c>
      <c r="B207" s="75" t="str">
        <f t="shared" si="8"/>
        <v>O.K.</v>
      </c>
      <c r="C207" s="253" t="s">
        <v>3240</v>
      </c>
      <c r="D207" s="73"/>
      <c r="E207" s="209">
        <f t="shared" si="9"/>
        <v>0</v>
      </c>
      <c r="F207" s="209">
        <f t="shared" si="10"/>
        <v>0</v>
      </c>
      <c r="G207" s="209">
        <f>IF(AND(I3=41,MAX('PR-RAS'!D518:E518,'PR-RAS'!D521:E524,'PR-RAS'!D527:E527,'PR-RAS'!D530:E534,'PR-RAS'!D537:E537,'PR-RAS'!D547:E549,'PR-RAS'!D553:E554,'PR-RAS'!D570:E570,'PR-RAS'!D573:E576,'PR-RAS'!D589:E589,'PR-RAS'!D592:E592,'PR-RAS'!D596:E598)&gt;0),1,0)</f>
        <v>0</v>
      </c>
      <c r="H207" s="209"/>
      <c r="I207" s="252"/>
      <c r="J207" s="255"/>
      <c r="K207" s="252"/>
      <c r="L207" s="252"/>
      <c r="M207" s="252"/>
      <c r="N207" s="209"/>
      <c r="O207" s="209"/>
      <c r="P207" s="209"/>
    </row>
    <row r="208" spans="1:16" ht="30" customHeight="1" x14ac:dyDescent="0.2">
      <c r="A208" s="74">
        <v>170</v>
      </c>
      <c r="B208" s="75" t="str">
        <f t="shared" si="8"/>
        <v>O.K.</v>
      </c>
      <c r="C208" s="253" t="s">
        <v>3241</v>
      </c>
      <c r="D208" s="73"/>
      <c r="E208" s="209">
        <f t="shared" si="9"/>
        <v>0</v>
      </c>
      <c r="F208" s="209">
        <f t="shared" si="10"/>
        <v>0</v>
      </c>
      <c r="G208" s="209">
        <f>IF(AND(I3=41,MAX('PR-RAS'!D626:E628,'PR-RAS'!D631:E631,'PR-RAS'!D634:E634,'PR-RAS'!D653:E653,'PR-RAS'!D655:E655,'PR-RAS'!D728:E728,'PR-RAS'!D730:E730,'PR-RAS'!D732:E732,'PR-RAS'!D734:E734)&gt;0),1,0)</f>
        <v>0</v>
      </c>
      <c r="H208" s="209"/>
      <c r="I208" s="252"/>
      <c r="J208" s="255"/>
      <c r="K208" s="252"/>
      <c r="L208" s="252"/>
      <c r="M208" s="252"/>
      <c r="N208" s="256"/>
      <c r="O208" s="209"/>
      <c r="P208" s="209"/>
    </row>
    <row r="209" spans="1:16" ht="30" customHeight="1" x14ac:dyDescent="0.2">
      <c r="A209" s="74">
        <v>171</v>
      </c>
      <c r="B209" s="75" t="str">
        <f t="shared" si="8"/>
        <v>O.K.</v>
      </c>
      <c r="C209" s="153" t="s">
        <v>3242</v>
      </c>
      <c r="D209" s="73"/>
      <c r="E209" s="209">
        <f t="shared" si="9"/>
        <v>0</v>
      </c>
      <c r="F209" s="209">
        <f t="shared" si="10"/>
        <v>0</v>
      </c>
      <c r="G209" s="209">
        <f>IF(AND(I3=42,MAX('PR-RAS'!D8:E39,'PR-RAS'!D45:E49,'PR-RAS'!D134:E138,'PR-RAS'!D141:E141,'PR-RAS'!D175:E175,'PR-RAS'!D225:E230,'PR-RAS'!D253:E258,'PR-RAS'!D349:E349,'PR-RAS'!D401:E401)&gt;0),1,0)</f>
        <v>0</v>
      </c>
      <c r="H209" s="209"/>
      <c r="I209" s="255"/>
      <c r="J209" s="252"/>
      <c r="K209" s="252"/>
      <c r="L209" s="252"/>
      <c r="M209" s="252"/>
      <c r="N209" s="209"/>
      <c r="O209" s="209"/>
      <c r="P209" s="209"/>
    </row>
    <row r="210" spans="1:16" ht="30" customHeight="1" x14ac:dyDescent="0.2">
      <c r="A210" s="74">
        <v>172</v>
      </c>
      <c r="B210" s="75" t="str">
        <f t="shared" si="8"/>
        <v>O.K.</v>
      </c>
      <c r="C210" s="153" t="s">
        <v>3243</v>
      </c>
      <c r="D210" s="73"/>
      <c r="E210" s="209">
        <f t="shared" si="9"/>
        <v>0</v>
      </c>
      <c r="F210" s="209">
        <f t="shared" si="10"/>
        <v>0</v>
      </c>
      <c r="G210" s="209">
        <f>IF(AND(I3=42,MAX('PR-RAS'!D422:E426,'PR-RAS'!D429:E429,'PR-RAS'!D439:E441,'PR-RAS'!D445:E446,'PR-RAS'!D460:E462,'PR-RAS'!D465:E468,'PR-RAS'!D471:E471,'PR-RAS'!D480:E480,'PR-RAS'!D483:E483,'PR-RAS'!D485:E489,'PR-RAS'!D518:E518,'PR-RAS'!D521:E524)&gt;0),1,0)</f>
        <v>0</v>
      </c>
      <c r="H210" s="209"/>
      <c r="I210" s="255"/>
      <c r="J210" s="252"/>
      <c r="K210" s="252"/>
      <c r="L210" s="252"/>
      <c r="M210" s="252"/>
      <c r="N210" s="209"/>
      <c r="O210" s="209"/>
      <c r="P210" s="209"/>
    </row>
    <row r="211" spans="1:16" ht="30" customHeight="1" x14ac:dyDescent="0.2">
      <c r="A211" s="74">
        <v>173</v>
      </c>
      <c r="B211" s="75" t="str">
        <f t="shared" si="8"/>
        <v>O.K.</v>
      </c>
      <c r="C211" s="153" t="s">
        <v>3244</v>
      </c>
      <c r="D211" s="73"/>
      <c r="E211" s="209">
        <f t="shared" si="9"/>
        <v>0</v>
      </c>
      <c r="F211" s="209">
        <f t="shared" si="10"/>
        <v>0</v>
      </c>
      <c r="G211" s="209">
        <f>IF(AND(I3=42,MAX('PR-RAS'!D527:E527,'PR-RAS'!D530:E534,'PR-RAS'!D537:E537,'PR-RAS'!D547:E549,'PR-RAS'!D553:E554,'PR-RAS'!D570:E570,'PR-RAS'!D573:E579,'PR-RAS'!D589:E589,'PR-RAS'!D592:E592,'PR-RAS'!D596:E598)&gt;0),1,0)</f>
        <v>0</v>
      </c>
      <c r="H211" s="209"/>
      <c r="I211" s="255"/>
      <c r="J211" s="252"/>
      <c r="K211" s="252"/>
      <c r="L211" s="252"/>
      <c r="M211" s="252"/>
      <c r="N211" s="209"/>
      <c r="O211" s="209"/>
      <c r="P211" s="209"/>
    </row>
    <row r="212" spans="1:16" ht="30" customHeight="1" x14ac:dyDescent="0.2">
      <c r="A212" s="74">
        <v>174</v>
      </c>
      <c r="B212" s="75" t="str">
        <f t="shared" si="8"/>
        <v>O.K.</v>
      </c>
      <c r="C212" s="153" t="s">
        <v>3245</v>
      </c>
      <c r="D212" s="73"/>
      <c r="E212" s="209">
        <f t="shared" si="9"/>
        <v>0</v>
      </c>
      <c r="F212" s="209">
        <f t="shared" si="10"/>
        <v>0</v>
      </c>
      <c r="G212" s="209">
        <f>IF(AND(I3=42,MAX('PR-RAS'!D626:E628,'PR-RAS'!D631:E631,'PR-RAS'!D634:E634,'PR-RAS'!D653:E653,'PR-RAS'!D655:E655,'PR-RAS'!D711:E711,'PR-RAS'!D728:E728,'PR-RAS'!D730:E730,'PR-RAS'!D732:E732,'PR-RAS'!D734:E734)&gt;0),1,0)</f>
        <v>0</v>
      </c>
      <c r="H212" s="209"/>
      <c r="I212" s="255"/>
      <c r="J212" s="252"/>
      <c r="K212" s="252"/>
      <c r="L212" s="252"/>
      <c r="M212" s="252"/>
      <c r="N212" s="209"/>
      <c r="O212" s="209"/>
      <c r="P212" s="209"/>
    </row>
    <row r="213" spans="1:16" ht="51" customHeight="1" x14ac:dyDescent="0.2">
      <c r="A213" s="74">
        <v>175</v>
      </c>
      <c r="B213" s="75" t="str">
        <f t="shared" ref="B213:B276" si="11">IF(E213=1,"Pogreška",IF(F213=1,"Provjera","O.K."))</f>
        <v>O.K.</v>
      </c>
      <c r="C213" s="153" t="s">
        <v>3246</v>
      </c>
      <c r="D213" s="73"/>
      <c r="E213" s="209">
        <f t="shared" ref="E213:E276" si="12">MAX(G213:K213)</f>
        <v>0</v>
      </c>
      <c r="F213" s="209">
        <f t="shared" ref="F213:F276" si="13">MAX(L213:O213)</f>
        <v>0</v>
      </c>
      <c r="G213" s="209"/>
      <c r="H213" s="209"/>
      <c r="I213" s="209"/>
      <c r="J213" s="209"/>
      <c r="K213" s="209"/>
      <c r="L213" s="209">
        <f>IF(AND(I3=11,OR(AND('PR-RAS'!D653&lt;&gt;0,'PR-RAS'!D654&lt;&gt;0),AND('PR-RAS'!D655&lt;&gt;0,'PR-RAS'!D656&lt;&gt;0))),1,0)</f>
        <v>0</v>
      </c>
      <c r="M213" s="209">
        <f>IF(AND(I3=11,OR(AND('PR-RAS'!E653&lt;&gt;0,'PR-RAS'!E654&lt;&gt;0),AND('PR-RAS'!E655&lt;&gt;0,'PR-RAS'!E656&lt;&gt;0))),1,0)</f>
        <v>0</v>
      </c>
      <c r="N213" s="209"/>
      <c r="O213" s="209"/>
      <c r="P213" s="209"/>
    </row>
    <row r="214" spans="1:16" ht="30" customHeight="1" x14ac:dyDescent="0.2">
      <c r="A214" s="74">
        <v>176</v>
      </c>
      <c r="B214" s="75" t="str">
        <f t="shared" si="11"/>
        <v>Provjera</v>
      </c>
      <c r="C214" s="153" t="s">
        <v>3247</v>
      </c>
      <c r="D214" s="73"/>
      <c r="E214" s="209">
        <f t="shared" si="12"/>
        <v>0</v>
      </c>
      <c r="F214" s="209">
        <f t="shared" si="13"/>
        <v>1</v>
      </c>
      <c r="G214" s="209"/>
      <c r="H214" s="209"/>
      <c r="I214" s="209"/>
      <c r="J214" s="209"/>
      <c r="K214" s="209"/>
      <c r="L214" s="209">
        <f>IF(AND('PR-RAS'!D24&gt;0,'PR-RAS'!D658=0),1,0)</f>
        <v>0</v>
      </c>
      <c r="M214" s="209">
        <f>IF(AND('PR-RAS'!E24&gt;0,'PR-RAS'!E658=0),1,0)</f>
        <v>1</v>
      </c>
      <c r="N214" s="209"/>
      <c r="O214" s="209"/>
      <c r="P214" s="209"/>
    </row>
    <row r="215" spans="1:16" ht="30" customHeight="1" x14ac:dyDescent="0.2">
      <c r="A215" s="74">
        <v>177</v>
      </c>
      <c r="B215" s="75" t="str">
        <f t="shared" si="11"/>
        <v>O.K.</v>
      </c>
      <c r="C215" s="153" t="s">
        <v>3248</v>
      </c>
      <c r="D215" s="73"/>
      <c r="E215" s="209">
        <f t="shared" si="12"/>
        <v>0</v>
      </c>
      <c r="F215" s="209">
        <f t="shared" si="13"/>
        <v>0</v>
      </c>
      <c r="G215" s="209"/>
      <c r="H215" s="209"/>
      <c r="I215" s="209"/>
      <c r="J215" s="209"/>
      <c r="K215" s="209"/>
      <c r="L215" s="209">
        <f>IF(AND('PR-RAS'!D33&gt;0,SUM('PR-RAS'!D659:'PR-RAS'!D660)=0),1,0)</f>
        <v>0</v>
      </c>
      <c r="M215" s="209">
        <f>IF(AND('PR-RAS'!E33&gt;0,SUM('PR-RAS'!E659:'PR-RAS'!E660)=0),1,0)</f>
        <v>0</v>
      </c>
      <c r="N215" s="209"/>
      <c r="O215" s="209"/>
      <c r="P215" s="209"/>
    </row>
    <row r="216" spans="1:16" ht="30" customHeight="1" x14ac:dyDescent="0.2">
      <c r="A216" s="74">
        <v>178</v>
      </c>
      <c r="B216" s="75" t="str">
        <f t="shared" si="11"/>
        <v>O.K.</v>
      </c>
      <c r="C216" s="153" t="s">
        <v>3249</v>
      </c>
      <c r="D216" s="73"/>
      <c r="E216" s="209">
        <f t="shared" si="12"/>
        <v>0</v>
      </c>
      <c r="F216" s="209">
        <f t="shared" si="13"/>
        <v>0</v>
      </c>
      <c r="G216" s="209"/>
      <c r="H216" s="209"/>
      <c r="I216" s="209"/>
      <c r="J216" s="209"/>
      <c r="K216" s="209"/>
      <c r="L216" s="209">
        <f>IF(AND('PR-RAS'!D90&gt;0,'PR-RAS'!D702=0),1,0)</f>
        <v>0</v>
      </c>
      <c r="M216" s="209">
        <f>IF(AND('PR-RAS'!E90&gt;0,'PR-RAS'!E702=0),1,0)</f>
        <v>0</v>
      </c>
      <c r="N216" s="209"/>
      <c r="O216" s="209"/>
      <c r="P216" s="209"/>
    </row>
    <row r="217" spans="1:16" ht="43.5" customHeight="1" x14ac:dyDescent="0.2">
      <c r="A217" s="74">
        <v>179</v>
      </c>
      <c r="B217" s="75" t="str">
        <f t="shared" si="11"/>
        <v>O.K.</v>
      </c>
      <c r="C217" s="153" t="s">
        <v>3250</v>
      </c>
      <c r="D217" s="73"/>
      <c r="E217" s="209">
        <f t="shared" si="12"/>
        <v>0</v>
      </c>
      <c r="F217" s="209">
        <f t="shared" si="13"/>
        <v>0</v>
      </c>
      <c r="G217" s="209"/>
      <c r="H217" s="209"/>
      <c r="I217" s="209"/>
      <c r="J217" s="209"/>
      <c r="K217" s="209"/>
      <c r="L217" s="209">
        <f>IF(AND('PR-RAS'!D117&gt;0,SUM('PR-RAS'!D710:'PR-RAS'!D712)=0),1,0)</f>
        <v>0</v>
      </c>
      <c r="M217" s="209">
        <f>IF(AND('PR-RAS'!E117&gt;0,SUM('PR-RAS'!E710:'PR-RAS'!E712)=0),1,0)</f>
        <v>0</v>
      </c>
      <c r="N217" s="209"/>
      <c r="O217" s="209"/>
      <c r="P217" s="209"/>
    </row>
    <row r="218" spans="1:16" ht="30" customHeight="1" x14ac:dyDescent="0.2">
      <c r="A218" s="74">
        <v>180</v>
      </c>
      <c r="B218" s="75" t="str">
        <f t="shared" si="11"/>
        <v>Provjera</v>
      </c>
      <c r="C218" s="153" t="s">
        <v>3251</v>
      </c>
      <c r="D218" s="73"/>
      <c r="E218" s="209">
        <f t="shared" si="12"/>
        <v>0</v>
      </c>
      <c r="F218" s="209">
        <f t="shared" si="13"/>
        <v>1</v>
      </c>
      <c r="G218" s="209"/>
      <c r="H218" s="209"/>
      <c r="I218" s="209"/>
      <c r="J218" s="209"/>
      <c r="K218" s="209"/>
      <c r="L218" s="209">
        <f>IF(AND('PR-RAS'!D158&gt;0,SUM('PR-RAS'!D716:D717)=0),1,0)</f>
        <v>1</v>
      </c>
      <c r="M218" s="209">
        <f>IF(AND('PR-RAS'!E158&gt;0,SUM('PR-RAS'!E716:E717)=0),1,0)</f>
        <v>1</v>
      </c>
      <c r="N218" s="209"/>
      <c r="O218" s="209"/>
      <c r="P218" s="209"/>
    </row>
    <row r="219" spans="1:16" ht="30" customHeight="1" x14ac:dyDescent="0.2">
      <c r="A219" s="74">
        <v>181</v>
      </c>
      <c r="B219" s="75" t="str">
        <f t="shared" si="11"/>
        <v>O.K.</v>
      </c>
      <c r="C219" s="153" t="s">
        <v>3252</v>
      </c>
      <c r="D219" s="73"/>
      <c r="E219" s="209">
        <f t="shared" si="12"/>
        <v>0</v>
      </c>
      <c r="F219" s="209">
        <f t="shared" si="13"/>
        <v>0</v>
      </c>
      <c r="G219" s="209"/>
      <c r="H219" s="209"/>
      <c r="I219" s="209"/>
      <c r="J219" s="209"/>
      <c r="K219" s="209"/>
      <c r="L219" s="209">
        <f>IF(AND('PR-RAS'!D183&gt;0,'PR-RAS'!D720=0),1,0)</f>
        <v>0</v>
      </c>
      <c r="M219" s="209">
        <f>IF(AND('PR-RAS'!E183&gt;0,'PR-RAS'!E720=0),1,0)</f>
        <v>0</v>
      </c>
      <c r="N219" s="209"/>
      <c r="O219" s="209"/>
      <c r="P219" s="209"/>
    </row>
    <row r="220" spans="1:16" ht="32.25" customHeight="1" x14ac:dyDescent="0.2">
      <c r="A220" s="74">
        <v>182</v>
      </c>
      <c r="B220" s="75" t="str">
        <f t="shared" si="11"/>
        <v>O.K.</v>
      </c>
      <c r="C220" s="153" t="s">
        <v>3253</v>
      </c>
      <c r="D220" s="73"/>
      <c r="E220" s="209">
        <f t="shared" si="12"/>
        <v>0</v>
      </c>
      <c r="F220" s="209">
        <f t="shared" si="13"/>
        <v>0</v>
      </c>
      <c r="G220" s="209"/>
      <c r="H220" s="209"/>
      <c r="I220" s="209"/>
      <c r="J220" s="209"/>
      <c r="K220" s="209"/>
      <c r="L220" s="209">
        <f>IF(AND('PR-RAS'!D184&gt;0,SUM('PR-RAS'!D721:D723)=0),1,0)</f>
        <v>0</v>
      </c>
      <c r="M220" s="209">
        <f>IF(AND('PR-RAS'!E184&gt;0,SUM('PR-RAS'!E721:E723)=0),1,0)</f>
        <v>0</v>
      </c>
      <c r="N220" s="209"/>
      <c r="O220" s="209"/>
      <c r="P220" s="209"/>
    </row>
    <row r="221" spans="1:16" ht="30" customHeight="1" x14ac:dyDescent="0.2">
      <c r="A221" s="74">
        <v>183</v>
      </c>
      <c r="B221" s="75" t="str">
        <f t="shared" si="11"/>
        <v>Provjera</v>
      </c>
      <c r="C221" s="153" t="s">
        <v>3254</v>
      </c>
      <c r="D221" s="73"/>
      <c r="E221" s="209">
        <f t="shared" si="12"/>
        <v>0</v>
      </c>
      <c r="F221" s="209">
        <f t="shared" si="13"/>
        <v>1</v>
      </c>
      <c r="G221" s="209"/>
      <c r="H221" s="209"/>
      <c r="I221" s="209"/>
      <c r="J221" s="209"/>
      <c r="K221" s="209"/>
      <c r="L221" s="209">
        <f>IF(AND('PR-RAS'!D186&gt;0,'PR-RAS'!D724=0),1,0)</f>
        <v>1</v>
      </c>
      <c r="M221" s="209">
        <f>IF(AND('PR-RAS'!E186&gt;0,'PR-RAS'!E724=0),1,0)</f>
        <v>1</v>
      </c>
      <c r="N221" s="209"/>
      <c r="O221" s="209"/>
      <c r="P221" s="209"/>
    </row>
    <row r="222" spans="1:16" ht="30" customHeight="1" x14ac:dyDescent="0.2">
      <c r="A222" s="74">
        <v>184</v>
      </c>
      <c r="B222" s="75" t="str">
        <f t="shared" si="11"/>
        <v>O.K.</v>
      </c>
      <c r="C222" s="153" t="s">
        <v>3255</v>
      </c>
      <c r="D222" s="73"/>
      <c r="E222" s="209">
        <f t="shared" si="12"/>
        <v>0</v>
      </c>
      <c r="F222" s="209">
        <f t="shared" si="13"/>
        <v>0</v>
      </c>
      <c r="G222" s="209"/>
      <c r="H222" s="209"/>
      <c r="I222" s="209"/>
      <c r="J222" s="209"/>
      <c r="K222" s="209"/>
      <c r="L222" s="209">
        <f>IF(AND('PR-RAS'!D189&gt;0,'PR-RAS'!D725=0),1,0)</f>
        <v>0</v>
      </c>
      <c r="M222" s="209">
        <f>IF(AND('PR-RAS'!E189&gt;0,'PR-RAS'!E725=0),1,0)</f>
        <v>0</v>
      </c>
      <c r="N222" s="209"/>
      <c r="O222" s="209"/>
      <c r="P222" s="209"/>
    </row>
    <row r="223" spans="1:16" ht="30" customHeight="1" x14ac:dyDescent="0.2">
      <c r="A223" s="74">
        <v>185</v>
      </c>
      <c r="B223" s="75" t="str">
        <f t="shared" si="11"/>
        <v>O.K.</v>
      </c>
      <c r="C223" s="153" t="s">
        <v>3256</v>
      </c>
      <c r="D223" s="73"/>
      <c r="E223" s="209">
        <f t="shared" si="12"/>
        <v>0</v>
      </c>
      <c r="F223" s="209">
        <f t="shared" si="13"/>
        <v>0</v>
      </c>
      <c r="G223" s="209"/>
      <c r="H223" s="209"/>
      <c r="I223" s="209"/>
      <c r="J223" s="209"/>
      <c r="K223" s="209"/>
      <c r="L223" s="209">
        <f>IF(AND('PR-RAS'!D190&gt;0,'PR-RAS'!D726=0),1,0)</f>
        <v>0</v>
      </c>
      <c r="M223" s="209">
        <f>IF(AND('PR-RAS'!E190&gt;0,'PR-RAS'!E726=0),1,0)</f>
        <v>0</v>
      </c>
      <c r="N223" s="209"/>
      <c r="O223" s="209"/>
      <c r="P223" s="209"/>
    </row>
    <row r="224" spans="1:16" ht="43.5" customHeight="1" x14ac:dyDescent="0.2">
      <c r="A224" s="74">
        <v>186</v>
      </c>
      <c r="B224" s="75" t="str">
        <f t="shared" si="11"/>
        <v>O.K.</v>
      </c>
      <c r="C224" s="153" t="s">
        <v>3257</v>
      </c>
      <c r="D224" s="73"/>
      <c r="E224" s="209">
        <f t="shared" si="12"/>
        <v>0</v>
      </c>
      <c r="F224" s="209">
        <f t="shared" si="13"/>
        <v>0</v>
      </c>
      <c r="G224" s="209"/>
      <c r="H224" s="209"/>
      <c r="I224" s="209"/>
      <c r="J224" s="209"/>
      <c r="K224" s="209"/>
      <c r="L224" s="209">
        <f>IF(AND('PR-RAS'!D208&gt;0,SUM('PR-RAS'!D748:D750)=0),1,0)</f>
        <v>0</v>
      </c>
      <c r="M224" s="209">
        <f>IF(AND('PR-RAS'!E208&gt;0,SUM('PR-RAS'!E748:E750)=0),1,0)</f>
        <v>0</v>
      </c>
      <c r="N224" s="209"/>
      <c r="O224" s="209"/>
      <c r="P224" s="209"/>
    </row>
    <row r="225" spans="1:16" ht="30" customHeight="1" x14ac:dyDescent="0.2">
      <c r="A225" s="74">
        <v>187</v>
      </c>
      <c r="B225" s="75" t="str">
        <f t="shared" si="11"/>
        <v>O.K.</v>
      </c>
      <c r="C225" s="153" t="s">
        <v>3258</v>
      </c>
      <c r="D225" s="73"/>
      <c r="E225" s="209">
        <f t="shared" si="12"/>
        <v>0</v>
      </c>
      <c r="F225" s="209">
        <f t="shared" si="13"/>
        <v>0</v>
      </c>
      <c r="G225" s="209"/>
      <c r="H225" s="209"/>
      <c r="I225" s="209"/>
      <c r="J225" s="209"/>
      <c r="K225" s="209"/>
      <c r="L225" s="209">
        <f>IF(AND('PR-RAS'!D214&gt;0,'PR-RAS'!D758=0),1,0)</f>
        <v>0</v>
      </c>
      <c r="M225" s="209">
        <f>IF(AND('PR-RAS'!E214&gt;0,'PR-RAS'!E758=0),1,0)</f>
        <v>0</v>
      </c>
      <c r="N225" s="209"/>
      <c r="O225" s="209"/>
      <c r="P225" s="209"/>
    </row>
    <row r="226" spans="1:16" ht="30" customHeight="1" x14ac:dyDescent="0.2">
      <c r="A226" s="74">
        <v>189</v>
      </c>
      <c r="B226" s="75" t="str">
        <f t="shared" si="11"/>
        <v>Provjera</v>
      </c>
      <c r="C226" s="153" t="s">
        <v>3259</v>
      </c>
      <c r="D226" s="73"/>
      <c r="E226" s="209">
        <f t="shared" si="12"/>
        <v>0</v>
      </c>
      <c r="F226" s="209">
        <f t="shared" si="13"/>
        <v>1</v>
      </c>
      <c r="G226" s="209"/>
      <c r="H226" s="209"/>
      <c r="I226" s="209"/>
      <c r="J226" s="209"/>
      <c r="K226" s="209"/>
      <c r="L226" s="209">
        <f>IF(AND('PR-RAS'!D265&gt;0,'PR-RAS'!D829=0),1,0)</f>
        <v>1</v>
      </c>
      <c r="M226" s="209">
        <f>IF(AND('PR-RAS'!E265&gt;0,'PR-RAS'!E829=0),1,0)</f>
        <v>1</v>
      </c>
      <c r="N226" s="209"/>
      <c r="O226" s="209"/>
      <c r="P226" s="209"/>
    </row>
    <row r="227" spans="1:16" ht="33" customHeight="1" x14ac:dyDescent="0.2">
      <c r="A227" s="74">
        <v>190</v>
      </c>
      <c r="B227" s="75" t="str">
        <f t="shared" si="11"/>
        <v>O.K.</v>
      </c>
      <c r="C227" s="253" t="s">
        <v>3260</v>
      </c>
      <c r="D227" s="73"/>
      <c r="E227" s="209">
        <f t="shared" si="12"/>
        <v>0</v>
      </c>
      <c r="F227" s="209">
        <f t="shared" si="13"/>
        <v>0</v>
      </c>
      <c r="G227" s="209"/>
      <c r="H227" s="209"/>
      <c r="I227" s="209"/>
      <c r="J227" s="209"/>
      <c r="K227" s="209"/>
      <c r="L227" s="209">
        <f>IF(AND('PR-RAS'!D428&gt;0,SUM('PR-RAS'!D846:D846)=0),1,0)</f>
        <v>0</v>
      </c>
      <c r="M227" s="209">
        <f>IF(AND('PR-RAS'!E428&gt;0,SUM('PR-RAS'!E846:E846)=0),1,0)</f>
        <v>0</v>
      </c>
      <c r="N227" s="209"/>
      <c r="O227" s="209"/>
      <c r="P227" s="209"/>
    </row>
    <row r="228" spans="1:16" ht="30" customHeight="1" x14ac:dyDescent="0.2">
      <c r="A228" s="74">
        <v>191</v>
      </c>
      <c r="B228" s="75" t="str">
        <f t="shared" si="11"/>
        <v>O.K.</v>
      </c>
      <c r="C228" s="253" t="s">
        <v>3261</v>
      </c>
      <c r="D228" s="73"/>
      <c r="E228" s="209">
        <f t="shared" si="12"/>
        <v>0</v>
      </c>
      <c r="F228" s="209">
        <f t="shared" si="13"/>
        <v>0</v>
      </c>
      <c r="G228" s="209"/>
      <c r="H228" s="209"/>
      <c r="I228" s="209"/>
      <c r="J228" s="209"/>
      <c r="K228" s="209"/>
      <c r="L228" s="209">
        <f>IF(AND('PR-RAS'!D431&gt;0,SUM('PR-RAS'!D847:D847)=0),1,0)</f>
        <v>0</v>
      </c>
      <c r="M228" s="209">
        <f>IF(AND('PR-RAS'!E431&gt;0,SUM('PR-RAS'!E847:E847)=0),1,0)</f>
        <v>0</v>
      </c>
      <c r="N228" s="209"/>
      <c r="O228" s="209"/>
      <c r="P228" s="209"/>
    </row>
    <row r="229" spans="1:16" ht="30" customHeight="1" x14ac:dyDescent="0.2">
      <c r="A229" s="74">
        <v>192</v>
      </c>
      <c r="B229" s="75" t="str">
        <f t="shared" si="11"/>
        <v>O.K.</v>
      </c>
      <c r="C229" s="253" t="s">
        <v>3262</v>
      </c>
      <c r="D229" s="73"/>
      <c r="E229" s="209">
        <f t="shared" si="12"/>
        <v>0</v>
      </c>
      <c r="F229" s="209">
        <f t="shared" si="13"/>
        <v>0</v>
      </c>
      <c r="G229" s="209"/>
      <c r="H229" s="209"/>
      <c r="I229" s="209"/>
      <c r="J229" s="209"/>
      <c r="K229" s="209"/>
      <c r="L229" s="209">
        <f>IF(AND('PR-RAS'!D432&gt;0,SUM('PR-RAS'!D848:D848)=0),1,0)</f>
        <v>0</v>
      </c>
      <c r="M229" s="209">
        <f>IF(AND('PR-RAS'!E432&gt;0,SUM('PR-RAS'!E848:E848)=0),1,0)</f>
        <v>0</v>
      </c>
      <c r="N229" s="209"/>
      <c r="O229" s="209"/>
      <c r="P229" s="209"/>
    </row>
    <row r="230" spans="1:16" ht="30" customHeight="1" x14ac:dyDescent="0.2">
      <c r="A230" s="74">
        <v>193</v>
      </c>
      <c r="B230" s="75" t="str">
        <f t="shared" si="11"/>
        <v>O.K.</v>
      </c>
      <c r="C230" s="253" t="s">
        <v>3263</v>
      </c>
      <c r="D230" s="73"/>
      <c r="E230" s="209">
        <f t="shared" si="12"/>
        <v>0</v>
      </c>
      <c r="F230" s="209">
        <f t="shared" si="13"/>
        <v>0</v>
      </c>
      <c r="G230" s="209"/>
      <c r="H230" s="209"/>
      <c r="I230" s="209"/>
      <c r="J230" s="209"/>
      <c r="K230" s="209"/>
      <c r="L230" s="209">
        <f>IF(AND('PR-RAS'!D433&gt;0,SUM('PR-RAS'!D849:D849)=0),1,0)</f>
        <v>0</v>
      </c>
      <c r="M230" s="209">
        <f>IF(AND('PR-RAS'!E433&gt;0,SUM('PR-RAS'!E849:E849)=0),1,0)</f>
        <v>0</v>
      </c>
      <c r="N230" s="209"/>
      <c r="O230" s="209"/>
      <c r="P230" s="209"/>
    </row>
    <row r="231" spans="1:16" ht="30" customHeight="1" x14ac:dyDescent="0.2">
      <c r="A231" s="74">
        <v>194</v>
      </c>
      <c r="B231" s="75" t="str">
        <f t="shared" si="11"/>
        <v>O.K.</v>
      </c>
      <c r="C231" s="253" t="s">
        <v>3264</v>
      </c>
      <c r="D231" s="73"/>
      <c r="E231" s="209">
        <f t="shared" si="12"/>
        <v>0</v>
      </c>
      <c r="F231" s="209">
        <f t="shared" si="13"/>
        <v>0</v>
      </c>
      <c r="G231" s="209"/>
      <c r="H231" s="209"/>
      <c r="I231" s="209"/>
      <c r="J231" s="209"/>
      <c r="K231" s="209"/>
      <c r="L231" s="209">
        <f>IF(AND('PR-RAS'!D436&gt;0,SUM('PR-RAS'!D852:D852)=0),1,0)</f>
        <v>0</v>
      </c>
      <c r="M231" s="209">
        <f>IF(AND('PR-RAS'!E436&gt;0,SUM('PR-RAS'!E852:E852)=0),1,0)</f>
        <v>0</v>
      </c>
      <c r="N231" s="209"/>
      <c r="O231" s="209"/>
      <c r="P231" s="209"/>
    </row>
    <row r="232" spans="1:16" ht="30" customHeight="1" x14ac:dyDescent="0.2">
      <c r="A232" s="74">
        <v>195</v>
      </c>
      <c r="B232" s="75" t="str">
        <f t="shared" si="11"/>
        <v>O.K.</v>
      </c>
      <c r="C232" s="253" t="s">
        <v>3265</v>
      </c>
      <c r="D232" s="73"/>
      <c r="E232" s="209">
        <f t="shared" si="12"/>
        <v>0</v>
      </c>
      <c r="F232" s="209">
        <f t="shared" si="13"/>
        <v>0</v>
      </c>
      <c r="G232" s="209"/>
      <c r="H232" s="209"/>
      <c r="I232" s="209"/>
      <c r="J232" s="209"/>
      <c r="K232" s="209"/>
      <c r="L232" s="209">
        <f>IF(AND('PR-RAS'!D437&gt;0,SUM('PR-RAS'!D853:D853)=0),1,0)</f>
        <v>0</v>
      </c>
      <c r="M232" s="209">
        <f>IF(AND('PR-RAS'!E437&gt;0,SUM('PR-RAS'!E853:E853)=0),1,0)</f>
        <v>0</v>
      </c>
      <c r="N232" s="209"/>
      <c r="O232" s="209"/>
      <c r="P232" s="209"/>
    </row>
    <row r="233" spans="1:16" ht="30" customHeight="1" x14ac:dyDescent="0.2">
      <c r="A233" s="74">
        <v>196</v>
      </c>
      <c r="B233" s="75" t="str">
        <f t="shared" si="11"/>
        <v>O.K.</v>
      </c>
      <c r="C233" s="253" t="s">
        <v>3266</v>
      </c>
      <c r="D233" s="73"/>
      <c r="E233" s="209">
        <f t="shared" si="12"/>
        <v>0</v>
      </c>
      <c r="F233" s="209">
        <f t="shared" si="13"/>
        <v>0</v>
      </c>
      <c r="G233" s="209"/>
      <c r="H233" s="209"/>
      <c r="I233" s="209"/>
      <c r="J233" s="209"/>
      <c r="K233" s="209"/>
      <c r="L233" s="209">
        <f>IF(AND('PR-RAS'!D438&gt;0,SUM('PR-RAS'!D854:D854)=0),1,0)</f>
        <v>0</v>
      </c>
      <c r="M233" s="209">
        <f>IF(AND('PR-RAS'!E438&gt;0,SUM('PR-RAS'!E854:E854)=0),1,0)</f>
        <v>0</v>
      </c>
      <c r="N233" s="209"/>
      <c r="O233" s="209"/>
      <c r="P233" s="209"/>
    </row>
    <row r="234" spans="1:16" ht="30" customHeight="1" x14ac:dyDescent="0.2">
      <c r="A234" s="74">
        <v>197</v>
      </c>
      <c r="B234" s="75" t="str">
        <f t="shared" si="11"/>
        <v>O.K.</v>
      </c>
      <c r="C234" s="153" t="s">
        <v>3267</v>
      </c>
      <c r="D234" s="73"/>
      <c r="E234" s="209">
        <f t="shared" si="12"/>
        <v>0</v>
      </c>
      <c r="F234" s="209">
        <f t="shared" si="13"/>
        <v>0</v>
      </c>
      <c r="G234" s="209"/>
      <c r="H234" s="209"/>
      <c r="I234" s="209"/>
      <c r="J234" s="209"/>
      <c r="K234" s="209"/>
      <c r="L234" s="209">
        <f>IF(AND('PR-RAS'!D470&gt;0,'PR-RAS'!D873=0),1,0)</f>
        <v>0</v>
      </c>
      <c r="M234" s="209">
        <f>IF(AND('PR-RAS'!E470&gt;0,'PR-RAS'!E873=0),1,0)</f>
        <v>0</v>
      </c>
      <c r="N234" s="209"/>
      <c r="O234" s="209"/>
      <c r="P234" s="209"/>
    </row>
    <row r="235" spans="1:16" ht="30" customHeight="1" x14ac:dyDescent="0.2">
      <c r="A235" s="74">
        <v>198</v>
      </c>
      <c r="B235" s="75" t="str">
        <f t="shared" si="11"/>
        <v>O.K.</v>
      </c>
      <c r="C235" s="153" t="s">
        <v>3268</v>
      </c>
      <c r="D235" s="73"/>
      <c r="E235" s="209">
        <f t="shared" si="12"/>
        <v>0</v>
      </c>
      <c r="F235" s="209">
        <f t="shared" si="13"/>
        <v>0</v>
      </c>
      <c r="G235" s="209"/>
      <c r="H235" s="209"/>
      <c r="I235" s="209"/>
      <c r="J235" s="209"/>
      <c r="K235" s="209"/>
      <c r="L235" s="209">
        <f>IF(AND('PR-RAS'!D486&gt;0,'PR-RAS'!D874=0),1,0)</f>
        <v>0</v>
      </c>
      <c r="M235" s="209">
        <f>IF(AND('PR-RAS'!E486&gt;0,'PR-RAS'!E874=0),1,0)</f>
        <v>0</v>
      </c>
      <c r="N235" s="209"/>
      <c r="O235" s="209"/>
      <c r="P235" s="209"/>
    </row>
    <row r="236" spans="1:16" ht="30" customHeight="1" x14ac:dyDescent="0.2">
      <c r="A236" s="74">
        <v>199</v>
      </c>
      <c r="B236" s="75" t="str">
        <f t="shared" si="11"/>
        <v>O.K.</v>
      </c>
      <c r="C236" s="153" t="s">
        <v>3269</v>
      </c>
      <c r="D236" s="73"/>
      <c r="E236" s="209">
        <f t="shared" si="12"/>
        <v>0</v>
      </c>
      <c r="F236" s="209">
        <f t="shared" si="13"/>
        <v>0</v>
      </c>
      <c r="G236" s="209"/>
      <c r="H236" s="209"/>
      <c r="I236" s="209"/>
      <c r="J236" s="209"/>
      <c r="K236" s="209"/>
      <c r="L236" s="209">
        <f>IF(AND('PR-RAS'!D487&gt;0,'PR-RAS'!D875=0),1,0)</f>
        <v>0</v>
      </c>
      <c r="M236" s="209">
        <f>IF(AND('PR-RAS'!E487&gt;0,'PR-RAS'!E875=0),1,0)</f>
        <v>0</v>
      </c>
      <c r="N236" s="209"/>
      <c r="O236" s="209"/>
      <c r="P236" s="209"/>
    </row>
    <row r="237" spans="1:16" ht="30" customHeight="1" x14ac:dyDescent="0.2">
      <c r="A237" s="74">
        <v>200</v>
      </c>
      <c r="B237" s="75" t="str">
        <f t="shared" si="11"/>
        <v>O.K.</v>
      </c>
      <c r="C237" s="153" t="s">
        <v>3270</v>
      </c>
      <c r="D237" s="73"/>
      <c r="E237" s="209">
        <f t="shared" si="12"/>
        <v>0</v>
      </c>
      <c r="F237" s="209">
        <f t="shared" si="13"/>
        <v>0</v>
      </c>
      <c r="G237" s="209"/>
      <c r="H237" s="209"/>
      <c r="I237" s="209"/>
      <c r="J237" s="209"/>
      <c r="K237" s="209"/>
      <c r="L237" s="209">
        <f>IF(AND('PR-RAS'!D488&gt;0,'PR-RAS'!D876=0),1,0)</f>
        <v>0</v>
      </c>
      <c r="M237" s="209">
        <f>IF(AND('PR-RAS'!E488&gt;0,'PR-RAS'!E876=0),1,0)</f>
        <v>0</v>
      </c>
      <c r="N237" s="209"/>
      <c r="O237" s="209"/>
      <c r="P237" s="209"/>
    </row>
    <row r="238" spans="1:16" ht="30" customHeight="1" x14ac:dyDescent="0.2">
      <c r="A238" s="74">
        <v>201</v>
      </c>
      <c r="B238" s="75" t="str">
        <f t="shared" si="11"/>
        <v>O.K.</v>
      </c>
      <c r="C238" s="153" t="s">
        <v>3271</v>
      </c>
      <c r="D238" s="73"/>
      <c r="E238" s="209">
        <f t="shared" si="12"/>
        <v>0</v>
      </c>
      <c r="F238" s="209">
        <f t="shared" si="13"/>
        <v>0</v>
      </c>
      <c r="G238" s="209"/>
      <c r="H238" s="209"/>
      <c r="I238" s="209"/>
      <c r="J238" s="209"/>
      <c r="K238" s="209"/>
      <c r="L238" s="209">
        <f>IF(AND('PR-RAS'!D489&gt;0,'PR-RAS'!D877=0),1,0)</f>
        <v>0</v>
      </c>
      <c r="M238" s="209">
        <f>IF(AND('PR-RAS'!E489&gt;0,'PR-RAS'!E877=0),1,0)</f>
        <v>0</v>
      </c>
      <c r="N238" s="209"/>
      <c r="O238" s="209"/>
      <c r="P238" s="209"/>
    </row>
    <row r="239" spans="1:16" ht="30" customHeight="1" x14ac:dyDescent="0.2">
      <c r="A239" s="74">
        <v>202</v>
      </c>
      <c r="B239" s="75" t="str">
        <f t="shared" si="11"/>
        <v>O.K.</v>
      </c>
      <c r="C239" s="153" t="s">
        <v>3272</v>
      </c>
      <c r="D239" s="73"/>
      <c r="E239" s="209">
        <f t="shared" si="12"/>
        <v>0</v>
      </c>
      <c r="F239" s="209">
        <f t="shared" si="13"/>
        <v>0</v>
      </c>
      <c r="G239" s="209"/>
      <c r="H239" s="209"/>
      <c r="I239" s="209"/>
      <c r="J239" s="209"/>
      <c r="K239" s="209"/>
      <c r="L239" s="209">
        <f>IF(AND('PR-RAS'!D492&gt;0,'PR-RAS'!D881=0),1,0)</f>
        <v>0</v>
      </c>
      <c r="M239" s="209">
        <f>IF(AND('PR-RAS'!E492&gt;0,'PR-RAS'!E881=0),1,0)</f>
        <v>0</v>
      </c>
      <c r="N239" s="209"/>
      <c r="O239" s="209"/>
      <c r="P239" s="209"/>
    </row>
    <row r="240" spans="1:16" ht="30" customHeight="1" x14ac:dyDescent="0.2">
      <c r="A240" s="74">
        <v>203</v>
      </c>
      <c r="B240" s="75" t="str">
        <f t="shared" si="11"/>
        <v>O.K.</v>
      </c>
      <c r="C240" s="153" t="s">
        <v>3273</v>
      </c>
      <c r="D240" s="73"/>
      <c r="E240" s="209">
        <f t="shared" si="12"/>
        <v>0</v>
      </c>
      <c r="F240" s="209">
        <f t="shared" si="13"/>
        <v>0</v>
      </c>
      <c r="G240" s="209"/>
      <c r="H240" s="209"/>
      <c r="I240" s="209"/>
      <c r="J240" s="209"/>
      <c r="K240" s="209"/>
      <c r="L240" s="209">
        <f>IF(AND('PR-RAS'!D493&gt;0,SUM('PR-RAS'!D882:D883)=0),1,0)</f>
        <v>0</v>
      </c>
      <c r="M240" s="209">
        <f>IF(AND('PR-RAS'!E493&gt;0,SUM('PR-RAS'!E882:E883)=0),1,0)</f>
        <v>0</v>
      </c>
      <c r="N240" s="209"/>
      <c r="O240" s="209"/>
      <c r="P240" s="209"/>
    </row>
    <row r="241" spans="1:16" ht="30" customHeight="1" x14ac:dyDescent="0.2">
      <c r="A241" s="74">
        <v>204</v>
      </c>
      <c r="B241" s="75" t="str">
        <f t="shared" si="11"/>
        <v>O.K.</v>
      </c>
      <c r="C241" s="153" t="s">
        <v>3274</v>
      </c>
      <c r="D241" s="73"/>
      <c r="E241" s="209">
        <f t="shared" si="12"/>
        <v>0</v>
      </c>
      <c r="F241" s="209">
        <f t="shared" si="13"/>
        <v>0</v>
      </c>
      <c r="G241" s="209"/>
      <c r="H241" s="209"/>
      <c r="I241" s="209"/>
      <c r="J241" s="209"/>
      <c r="K241" s="209"/>
      <c r="L241" s="209">
        <f>IF(AND('PR-RAS'!D494&gt;0,'PR-RAS'!D884=0),1,0)</f>
        <v>0</v>
      </c>
      <c r="M241" s="209">
        <f>IF(AND('PR-RAS'!E494&gt;0,'PR-RAS'!E884=0),1,0)</f>
        <v>0</v>
      </c>
      <c r="N241" s="209"/>
      <c r="O241" s="209"/>
      <c r="P241" s="209"/>
    </row>
    <row r="242" spans="1:16" ht="30" customHeight="1" x14ac:dyDescent="0.2">
      <c r="A242" s="74">
        <v>205</v>
      </c>
      <c r="B242" s="75" t="str">
        <f t="shared" si="11"/>
        <v>O.K.</v>
      </c>
      <c r="C242" s="153" t="s">
        <v>3275</v>
      </c>
      <c r="D242" s="73"/>
      <c r="E242" s="209">
        <f t="shared" si="12"/>
        <v>0</v>
      </c>
      <c r="F242" s="209">
        <f t="shared" si="13"/>
        <v>0</v>
      </c>
      <c r="G242" s="209"/>
      <c r="H242" s="209"/>
      <c r="I242" s="209"/>
      <c r="J242" s="209"/>
      <c r="K242" s="209"/>
      <c r="L242" s="209">
        <f>IF(AND('PR-RAS'!D497&gt;0,'PR-RAS'!D888=0),1,0)</f>
        <v>0</v>
      </c>
      <c r="M242" s="209">
        <f>IF(AND('PR-RAS'!E497&gt;0,'PR-RAS'!E888=0),1,0)</f>
        <v>0</v>
      </c>
      <c r="N242" s="209"/>
      <c r="O242" s="209"/>
      <c r="P242" s="209"/>
    </row>
    <row r="243" spans="1:16" ht="30" customHeight="1" x14ac:dyDescent="0.2">
      <c r="A243" s="74">
        <v>206</v>
      </c>
      <c r="B243" s="75" t="str">
        <f t="shared" si="11"/>
        <v>O.K.</v>
      </c>
      <c r="C243" s="153" t="s">
        <v>3276</v>
      </c>
      <c r="D243" s="73"/>
      <c r="E243" s="209">
        <f t="shared" si="12"/>
        <v>0</v>
      </c>
      <c r="F243" s="209">
        <f t="shared" si="13"/>
        <v>0</v>
      </c>
      <c r="G243" s="209"/>
      <c r="H243" s="209"/>
      <c r="I243" s="209"/>
      <c r="J243" s="209"/>
      <c r="K243" s="209"/>
      <c r="L243" s="209">
        <f>IF(AND('PR-RAS'!D498&gt;0,SUM('PR-RAS'!D889:D890)=0),1,0)</f>
        <v>0</v>
      </c>
      <c r="M243" s="209">
        <f>IF(AND('PR-RAS'!E498&gt;0,SUM('PR-RAS'!E889:E890)=0),1,0)</f>
        <v>0</v>
      </c>
      <c r="N243" s="209"/>
      <c r="O243" s="209"/>
      <c r="P243" s="209"/>
    </row>
    <row r="244" spans="1:16" ht="30" customHeight="1" x14ac:dyDescent="0.2">
      <c r="A244" s="74">
        <v>207</v>
      </c>
      <c r="B244" s="75" t="str">
        <f t="shared" si="11"/>
        <v>O.K.</v>
      </c>
      <c r="C244" s="153" t="s">
        <v>3277</v>
      </c>
      <c r="D244" s="73"/>
      <c r="E244" s="209">
        <f t="shared" si="12"/>
        <v>0</v>
      </c>
      <c r="F244" s="209">
        <f t="shared" si="13"/>
        <v>0</v>
      </c>
      <c r="G244" s="209"/>
      <c r="H244" s="209"/>
      <c r="I244" s="209"/>
      <c r="J244" s="209"/>
      <c r="K244" s="209"/>
      <c r="L244" s="209">
        <f>IF(AND('PR-RAS'!D500&gt;0,'PR-RAS'!D894=0),1,0)</f>
        <v>0</v>
      </c>
      <c r="M244" s="209">
        <f>IF(AND('PR-RAS'!E500&gt;0,'PR-RAS'!E894=0),1,0)</f>
        <v>0</v>
      </c>
      <c r="N244" s="209"/>
      <c r="O244" s="209"/>
      <c r="P244" s="209"/>
    </row>
    <row r="245" spans="1:16" ht="30" customHeight="1" x14ac:dyDescent="0.2">
      <c r="A245" s="74">
        <v>208</v>
      </c>
      <c r="B245" s="75" t="str">
        <f t="shared" si="11"/>
        <v>O.K.</v>
      </c>
      <c r="C245" s="153" t="s">
        <v>3278</v>
      </c>
      <c r="D245" s="73"/>
      <c r="E245" s="209">
        <f t="shared" si="12"/>
        <v>0</v>
      </c>
      <c r="F245" s="209">
        <f t="shared" si="13"/>
        <v>0</v>
      </c>
      <c r="G245" s="209"/>
      <c r="H245" s="209"/>
      <c r="I245" s="209"/>
      <c r="J245" s="209"/>
      <c r="K245" s="209"/>
      <c r="L245" s="209">
        <f>IF(AND('PR-RAS'!D501&gt;0,SUM('PR-RAS'!D895:D896)=0),1,0)</f>
        <v>0</v>
      </c>
      <c r="M245" s="209">
        <f>IF(AND('PR-RAS'!E501&gt;0,SUM('PR-RAS'!E895:E896)=0),1,0)</f>
        <v>0</v>
      </c>
      <c r="N245" s="209"/>
      <c r="O245" s="209"/>
      <c r="P245" s="209"/>
    </row>
    <row r="246" spans="1:16" ht="30" customHeight="1" x14ac:dyDescent="0.2">
      <c r="A246" s="74">
        <v>209</v>
      </c>
      <c r="B246" s="75" t="str">
        <f t="shared" si="11"/>
        <v>O.K.</v>
      </c>
      <c r="C246" s="153" t="s">
        <v>3279</v>
      </c>
      <c r="D246" s="73"/>
      <c r="E246" s="209">
        <f t="shared" si="12"/>
        <v>0</v>
      </c>
      <c r="F246" s="209">
        <f t="shared" si="13"/>
        <v>0</v>
      </c>
      <c r="G246" s="209"/>
      <c r="H246" s="209"/>
      <c r="I246" s="209"/>
      <c r="J246" s="209"/>
      <c r="K246" s="209"/>
      <c r="L246" s="209">
        <f>IF(AND('PR-RAS'!D503&gt;0,'PR-RAS'!D897=0),1,0)</f>
        <v>0</v>
      </c>
      <c r="M246" s="209">
        <f>IF(AND('PR-RAS'!E503&gt;0,'PR-RAS'!E897=0),1,0)</f>
        <v>0</v>
      </c>
      <c r="N246" s="209"/>
      <c r="O246" s="209"/>
      <c r="P246" s="209"/>
    </row>
    <row r="247" spans="1:16" ht="30" customHeight="1" x14ac:dyDescent="0.2">
      <c r="A247" s="74">
        <v>210</v>
      </c>
      <c r="B247" s="75" t="str">
        <f t="shared" si="11"/>
        <v>O.K.</v>
      </c>
      <c r="C247" s="153" t="s">
        <v>3280</v>
      </c>
      <c r="D247" s="73"/>
      <c r="E247" s="209">
        <f t="shared" si="12"/>
        <v>0</v>
      </c>
      <c r="F247" s="209">
        <f t="shared" si="13"/>
        <v>0</v>
      </c>
      <c r="G247" s="209"/>
      <c r="H247" s="209"/>
      <c r="I247" s="209"/>
      <c r="J247" s="209"/>
      <c r="K247" s="209"/>
      <c r="L247" s="209">
        <f>IF(AND('PR-RAS'!D504&gt;0,'PR-RAS'!D898=0),1,0)</f>
        <v>0</v>
      </c>
      <c r="M247" s="209">
        <f>IF(AND('PR-RAS'!E504&gt;0,'PR-RAS'!E898=0),1,0)</f>
        <v>0</v>
      </c>
      <c r="N247" s="209"/>
      <c r="O247" s="209"/>
      <c r="P247" s="209"/>
    </row>
    <row r="248" spans="1:16" ht="30" customHeight="1" x14ac:dyDescent="0.2">
      <c r="A248" s="74">
        <v>211</v>
      </c>
      <c r="B248" s="75" t="str">
        <f t="shared" si="11"/>
        <v>O.K.</v>
      </c>
      <c r="C248" s="153" t="s">
        <v>3281</v>
      </c>
      <c r="D248" s="73"/>
      <c r="E248" s="209">
        <f t="shared" si="12"/>
        <v>0</v>
      </c>
      <c r="F248" s="209">
        <f t="shared" si="13"/>
        <v>0</v>
      </c>
      <c r="G248" s="209"/>
      <c r="H248" s="209"/>
      <c r="I248" s="209"/>
      <c r="J248" s="209"/>
      <c r="K248" s="209"/>
      <c r="L248" s="209">
        <f>IF(AND('PR-RAS'!D505&gt;0,'PR-RAS'!D899=0),1,0)</f>
        <v>0</v>
      </c>
      <c r="M248" s="209">
        <f>IF(AND('PR-RAS'!E505&gt;0,'PR-RAS'!E899=0),1,0)</f>
        <v>0</v>
      </c>
      <c r="N248" s="209"/>
      <c r="O248" s="209"/>
      <c r="P248" s="209"/>
    </row>
    <row r="249" spans="1:16" ht="30" customHeight="1" x14ac:dyDescent="0.2">
      <c r="A249" s="74">
        <v>212</v>
      </c>
      <c r="B249" s="75" t="str">
        <f t="shared" si="11"/>
        <v>O.K.</v>
      </c>
      <c r="C249" s="153" t="s">
        <v>3282</v>
      </c>
      <c r="D249" s="73"/>
      <c r="E249" s="209">
        <f t="shared" si="12"/>
        <v>0</v>
      </c>
      <c r="F249" s="209">
        <f t="shared" si="13"/>
        <v>0</v>
      </c>
      <c r="G249" s="209"/>
      <c r="H249" s="209"/>
      <c r="I249" s="209"/>
      <c r="J249" s="209"/>
      <c r="K249" s="209"/>
      <c r="L249" s="209">
        <f>IF(AND('PR-RAS'!D526&gt;0,'PR-RAS'!D914=0),1,0)</f>
        <v>0</v>
      </c>
      <c r="M249" s="209">
        <f>IF(AND('PR-RAS'!E526&gt;0,'PR-RAS'!E914=0),1,0)</f>
        <v>0</v>
      </c>
      <c r="N249" s="209"/>
      <c r="O249" s="209"/>
      <c r="P249" s="209"/>
    </row>
    <row r="250" spans="1:16" ht="30" customHeight="1" x14ac:dyDescent="0.2">
      <c r="A250" s="74">
        <v>213</v>
      </c>
      <c r="B250" s="75" t="str">
        <f t="shared" si="11"/>
        <v>O.K.</v>
      </c>
      <c r="C250" s="253" t="s">
        <v>3283</v>
      </c>
      <c r="D250" s="73"/>
      <c r="E250" s="209">
        <f t="shared" si="12"/>
        <v>0</v>
      </c>
      <c r="F250" s="209">
        <f t="shared" si="13"/>
        <v>0</v>
      </c>
      <c r="G250" s="209"/>
      <c r="H250" s="209"/>
      <c r="I250" s="209"/>
      <c r="J250" s="209"/>
      <c r="K250" s="209"/>
      <c r="L250" s="209">
        <f>IF(AND('PR-RAS'!D536&gt;0,SUM('PR-RAS'!D915:D915)=0),1,0)</f>
        <v>0</v>
      </c>
      <c r="M250" s="209">
        <f>IF(AND('PR-RAS'!E536&gt;0,SUM('PR-RAS'!E915:E915)=0),1,0)</f>
        <v>0</v>
      </c>
      <c r="N250" s="209"/>
      <c r="O250" s="209"/>
      <c r="P250" s="209"/>
    </row>
    <row r="251" spans="1:16" ht="30" customHeight="1" x14ac:dyDescent="0.2">
      <c r="A251" s="74">
        <v>214</v>
      </c>
      <c r="B251" s="75" t="str">
        <f t="shared" si="11"/>
        <v>O.K.</v>
      </c>
      <c r="C251" s="253" t="s">
        <v>3284</v>
      </c>
      <c r="D251" s="73"/>
      <c r="E251" s="209">
        <f t="shared" si="12"/>
        <v>0</v>
      </c>
      <c r="F251" s="209">
        <f t="shared" si="13"/>
        <v>0</v>
      </c>
      <c r="G251" s="209"/>
      <c r="H251" s="209"/>
      <c r="I251" s="209"/>
      <c r="J251" s="209"/>
      <c r="K251" s="209"/>
      <c r="L251" s="209">
        <f>IF(AND('PR-RAS'!D539&gt;0,SUM('PR-RAS'!D916:D916)=0),1,0)</f>
        <v>0</v>
      </c>
      <c r="M251" s="209">
        <f>IF(AND('PR-RAS'!E539&gt;0,SUM('PR-RAS'!E916:E916)=0),1,0)</f>
        <v>0</v>
      </c>
      <c r="N251" s="209"/>
      <c r="O251" s="209"/>
      <c r="P251" s="209"/>
    </row>
    <row r="252" spans="1:16" ht="30" customHeight="1" x14ac:dyDescent="0.2">
      <c r="A252" s="74">
        <v>215</v>
      </c>
      <c r="B252" s="75" t="str">
        <f t="shared" si="11"/>
        <v>O.K.</v>
      </c>
      <c r="C252" s="253" t="s">
        <v>3285</v>
      </c>
      <c r="D252" s="73"/>
      <c r="E252" s="209">
        <f t="shared" si="12"/>
        <v>0</v>
      </c>
      <c r="F252" s="209">
        <f t="shared" si="13"/>
        <v>0</v>
      </c>
      <c r="G252" s="209"/>
      <c r="H252" s="209"/>
      <c r="I252" s="209"/>
      <c r="J252" s="209"/>
      <c r="K252" s="209"/>
      <c r="L252" s="209">
        <f>IF(AND('PR-RAS'!D540&gt;0,SUM('PR-RAS'!D917:D917)=0),1,0)</f>
        <v>0</v>
      </c>
      <c r="M252" s="209">
        <f>IF(AND('PR-RAS'!E540&gt;0,SUM('PR-RAS'!E917:E917)=0),1,0)</f>
        <v>0</v>
      </c>
      <c r="N252" s="209"/>
      <c r="O252" s="209"/>
      <c r="P252" s="209"/>
    </row>
    <row r="253" spans="1:16" ht="30" customHeight="1" x14ac:dyDescent="0.2">
      <c r="A253" s="74">
        <v>216</v>
      </c>
      <c r="B253" s="75" t="str">
        <f t="shared" si="11"/>
        <v>O.K.</v>
      </c>
      <c r="C253" s="253" t="s">
        <v>3286</v>
      </c>
      <c r="D253" s="73"/>
      <c r="E253" s="209">
        <f t="shared" si="12"/>
        <v>0</v>
      </c>
      <c r="F253" s="209">
        <f t="shared" si="13"/>
        <v>0</v>
      </c>
      <c r="G253" s="209"/>
      <c r="H253" s="209"/>
      <c r="I253" s="209"/>
      <c r="J253" s="209"/>
      <c r="K253" s="209"/>
      <c r="L253" s="209">
        <f>IF(AND('PR-RAS'!D541&gt;0,SUM('PR-RAS'!D918:D918)=0),1,0)</f>
        <v>0</v>
      </c>
      <c r="M253" s="209">
        <f>IF(AND('PR-RAS'!E541&gt;0,SUM('PR-RAS'!E918:E918)=0),1,0)</f>
        <v>0</v>
      </c>
      <c r="N253" s="209"/>
      <c r="O253" s="209"/>
      <c r="P253" s="209"/>
    </row>
    <row r="254" spans="1:16" ht="30" customHeight="1" x14ac:dyDescent="0.2">
      <c r="A254" s="74">
        <v>217</v>
      </c>
      <c r="B254" s="75" t="str">
        <f t="shared" si="11"/>
        <v>O.K.</v>
      </c>
      <c r="C254" s="253" t="s">
        <v>3287</v>
      </c>
      <c r="D254" s="73"/>
      <c r="E254" s="209">
        <f t="shared" si="12"/>
        <v>0</v>
      </c>
      <c r="F254" s="209">
        <f t="shared" si="13"/>
        <v>0</v>
      </c>
      <c r="G254" s="209"/>
      <c r="H254" s="209"/>
      <c r="I254" s="209"/>
      <c r="J254" s="209"/>
      <c r="K254" s="209"/>
      <c r="L254" s="209">
        <f>IF(AND('PR-RAS'!D544&gt;0,SUM('PR-RAS'!D921:D921)=0),1,0)</f>
        <v>0</v>
      </c>
      <c r="M254" s="209">
        <f>IF(AND('PR-RAS'!E544&gt;0,SUM('PR-RAS'!E921:E921)=0),1,0)</f>
        <v>0</v>
      </c>
      <c r="N254" s="209"/>
      <c r="O254" s="209"/>
      <c r="P254" s="209"/>
    </row>
    <row r="255" spans="1:16" ht="30" customHeight="1" x14ac:dyDescent="0.2">
      <c r="A255" s="74">
        <v>218</v>
      </c>
      <c r="B255" s="75" t="str">
        <f t="shared" si="11"/>
        <v>O.K.</v>
      </c>
      <c r="C255" s="253" t="s">
        <v>3288</v>
      </c>
      <c r="D255" s="73"/>
      <c r="E255" s="209">
        <f t="shared" si="12"/>
        <v>0</v>
      </c>
      <c r="F255" s="209">
        <f t="shared" si="13"/>
        <v>0</v>
      </c>
      <c r="G255" s="209"/>
      <c r="H255" s="209"/>
      <c r="I255" s="209"/>
      <c r="J255" s="209"/>
      <c r="K255" s="209"/>
      <c r="L255" s="209">
        <f>IF(AND('PR-RAS'!D545&gt;0,SUM('PR-RAS'!D922:D922)=0),1,0)</f>
        <v>0</v>
      </c>
      <c r="M255" s="209">
        <f>IF(AND('PR-RAS'!E545&gt;0,SUM('PR-RAS'!E922:E922)=0),1,0)</f>
        <v>0</v>
      </c>
      <c r="N255" s="209"/>
      <c r="O255" s="209"/>
      <c r="P255" s="209"/>
    </row>
    <row r="256" spans="1:16" ht="30" customHeight="1" x14ac:dyDescent="0.2">
      <c r="A256" s="74">
        <v>219</v>
      </c>
      <c r="B256" s="75" t="str">
        <f t="shared" si="11"/>
        <v>O.K.</v>
      </c>
      <c r="C256" s="253" t="s">
        <v>3289</v>
      </c>
      <c r="D256" s="73"/>
      <c r="E256" s="209">
        <f t="shared" si="12"/>
        <v>0</v>
      </c>
      <c r="F256" s="209">
        <f t="shared" si="13"/>
        <v>0</v>
      </c>
      <c r="G256" s="209"/>
      <c r="H256" s="209"/>
      <c r="I256" s="209"/>
      <c r="J256" s="209"/>
      <c r="K256" s="209"/>
      <c r="L256" s="209">
        <f>IF(AND('PR-RAS'!D546&gt;0,SUM('PR-RAS'!D923:D923)=0),1,0)</f>
        <v>0</v>
      </c>
      <c r="M256" s="209">
        <f>IF(AND('PR-RAS'!E546&gt;0,SUM('PR-RAS'!E923:E923)=0),1,0)</f>
        <v>0</v>
      </c>
      <c r="N256" s="209"/>
      <c r="O256" s="209"/>
      <c r="P256" s="209"/>
    </row>
    <row r="257" spans="1:16" ht="30" customHeight="1" x14ac:dyDescent="0.2">
      <c r="A257" s="74">
        <v>220</v>
      </c>
      <c r="B257" s="75" t="str">
        <f t="shared" si="11"/>
        <v>O.K.</v>
      </c>
      <c r="C257" s="153" t="s">
        <v>3290</v>
      </c>
      <c r="D257" s="73"/>
      <c r="E257" s="209">
        <f t="shared" si="12"/>
        <v>0</v>
      </c>
      <c r="F257" s="209">
        <f t="shared" si="13"/>
        <v>0</v>
      </c>
      <c r="G257" s="209"/>
      <c r="H257" s="209"/>
      <c r="I257" s="209"/>
      <c r="J257" s="209"/>
      <c r="K257" s="209"/>
      <c r="L257" s="209">
        <f>IF(AND('PR-RAS'!D595&gt;0,'PR-RAS'!D942=0),1,0)</f>
        <v>0</v>
      </c>
      <c r="M257" s="209">
        <f>IF(AND('PR-RAS'!E595&gt;0,'PR-RAS'!E942=0),1,0)</f>
        <v>0</v>
      </c>
      <c r="N257" s="209"/>
      <c r="O257" s="209"/>
      <c r="P257" s="209"/>
    </row>
    <row r="258" spans="1:16" ht="30" customHeight="1" x14ac:dyDescent="0.2">
      <c r="A258" s="74">
        <v>221</v>
      </c>
      <c r="B258" s="75" t="str">
        <f t="shared" si="11"/>
        <v>O.K.</v>
      </c>
      <c r="C258" s="153" t="s">
        <v>3291</v>
      </c>
      <c r="D258" s="73"/>
      <c r="E258" s="209">
        <f t="shared" si="12"/>
        <v>0</v>
      </c>
      <c r="F258" s="209">
        <f t="shared" si="13"/>
        <v>0</v>
      </c>
      <c r="G258" s="209"/>
      <c r="H258" s="209"/>
      <c r="I258" s="209"/>
      <c r="J258" s="209"/>
      <c r="K258" s="209"/>
      <c r="L258" s="209">
        <f>IF(AND('PR-RAS'!D596&gt;0,'PR-RAS'!D943=0),1,0)</f>
        <v>0</v>
      </c>
      <c r="M258" s="209">
        <f>IF(AND('PR-RAS'!E596&gt;0,'PR-RAS'!E943=0),1,0)</f>
        <v>0</v>
      </c>
      <c r="N258" s="209"/>
      <c r="O258" s="209"/>
      <c r="P258" s="209"/>
    </row>
    <row r="259" spans="1:16" ht="30" customHeight="1" x14ac:dyDescent="0.2">
      <c r="A259" s="74">
        <v>222</v>
      </c>
      <c r="B259" s="75" t="str">
        <f t="shared" si="11"/>
        <v>O.K.</v>
      </c>
      <c r="C259" s="153" t="s">
        <v>3292</v>
      </c>
      <c r="D259" s="73"/>
      <c r="E259" s="209">
        <f t="shared" si="12"/>
        <v>0</v>
      </c>
      <c r="F259" s="209">
        <f t="shared" si="13"/>
        <v>0</v>
      </c>
      <c r="G259" s="209"/>
      <c r="H259" s="209"/>
      <c r="I259" s="209"/>
      <c r="J259" s="209"/>
      <c r="K259" s="209"/>
      <c r="L259" s="209">
        <f>IF(AND('PR-RAS'!D597&gt;0,'PR-RAS'!D944=0),1,0)</f>
        <v>0</v>
      </c>
      <c r="M259" s="209">
        <f>IF(AND('PR-RAS'!E597&gt;0,'PR-RAS'!E944=0),1,0)</f>
        <v>0</v>
      </c>
      <c r="N259" s="209"/>
      <c r="O259" s="209"/>
      <c r="P259" s="209"/>
    </row>
    <row r="260" spans="1:16" ht="33" customHeight="1" x14ac:dyDescent="0.2">
      <c r="A260" s="74">
        <v>223</v>
      </c>
      <c r="B260" s="75" t="str">
        <f t="shared" si="11"/>
        <v>O.K.</v>
      </c>
      <c r="C260" s="153" t="s">
        <v>3293</v>
      </c>
      <c r="D260" s="73"/>
      <c r="E260" s="209">
        <f t="shared" si="12"/>
        <v>0</v>
      </c>
      <c r="F260" s="209">
        <f t="shared" si="13"/>
        <v>0</v>
      </c>
      <c r="G260" s="209"/>
      <c r="H260" s="209"/>
      <c r="I260" s="209"/>
      <c r="J260" s="209"/>
      <c r="K260" s="209"/>
      <c r="L260" s="209">
        <f>IF(AND('PR-RAS'!D598&gt;0,'PR-RAS'!D945=0),1,0)</f>
        <v>0</v>
      </c>
      <c r="M260" s="209">
        <f>IF(AND('PR-RAS'!E598&gt;0,'PR-RAS'!E945=0),1,0)</f>
        <v>0</v>
      </c>
      <c r="N260" s="209"/>
      <c r="O260" s="209"/>
      <c r="P260" s="209"/>
    </row>
    <row r="261" spans="1:16" ht="30" customHeight="1" x14ac:dyDescent="0.2">
      <c r="A261" s="74">
        <v>224</v>
      </c>
      <c r="B261" s="75" t="str">
        <f t="shared" si="11"/>
        <v>O.K.</v>
      </c>
      <c r="C261" s="153" t="s">
        <v>3294</v>
      </c>
      <c r="D261" s="73"/>
      <c r="E261" s="209">
        <f t="shared" si="12"/>
        <v>0</v>
      </c>
      <c r="F261" s="209">
        <f t="shared" si="13"/>
        <v>0</v>
      </c>
      <c r="G261" s="209"/>
      <c r="H261" s="209"/>
      <c r="I261" s="209"/>
      <c r="J261" s="209"/>
      <c r="K261" s="209"/>
      <c r="L261" s="209">
        <f>IF(AND('PR-RAS'!D601&gt;0,'PR-RAS'!D949=0),1,0)</f>
        <v>0</v>
      </c>
      <c r="M261" s="209">
        <f>IF(AND('PR-RAS'!E601&gt;0,'PR-RAS'!E949=0),1,0)</f>
        <v>0</v>
      </c>
      <c r="N261" s="209"/>
      <c r="O261" s="209"/>
      <c r="P261" s="209"/>
    </row>
    <row r="262" spans="1:16" ht="30" customHeight="1" x14ac:dyDescent="0.2">
      <c r="A262" s="74">
        <v>225</v>
      </c>
      <c r="B262" s="75" t="str">
        <f t="shared" si="11"/>
        <v>O.K.</v>
      </c>
      <c r="C262" s="153" t="s">
        <v>3295</v>
      </c>
      <c r="D262" s="73"/>
      <c r="E262" s="209">
        <f t="shared" si="12"/>
        <v>0</v>
      </c>
      <c r="F262" s="209">
        <f t="shared" si="13"/>
        <v>0</v>
      </c>
      <c r="G262" s="209"/>
      <c r="H262" s="209"/>
      <c r="I262" s="209"/>
      <c r="J262" s="209"/>
      <c r="K262" s="209"/>
      <c r="L262" s="209">
        <f>IF(AND('PR-RAS'!D602&gt;0,SUM('PR-RAS'!D950:D951)=0),1,0)</f>
        <v>0</v>
      </c>
      <c r="M262" s="209">
        <f>IF(AND('PR-RAS'!E602&gt;0,SUM('PR-RAS'!E950:E951)=0),1,0)</f>
        <v>0</v>
      </c>
      <c r="N262" s="209"/>
      <c r="O262" s="209"/>
      <c r="P262" s="209"/>
    </row>
    <row r="263" spans="1:16" ht="30" customHeight="1" x14ac:dyDescent="0.2">
      <c r="A263" s="74">
        <v>226</v>
      </c>
      <c r="B263" s="75" t="str">
        <f t="shared" si="11"/>
        <v>O.K.</v>
      </c>
      <c r="C263" s="153" t="s">
        <v>3296</v>
      </c>
      <c r="D263" s="73"/>
      <c r="E263" s="209">
        <f t="shared" si="12"/>
        <v>0</v>
      </c>
      <c r="F263" s="209">
        <f t="shared" si="13"/>
        <v>0</v>
      </c>
      <c r="G263" s="209"/>
      <c r="H263" s="209"/>
      <c r="I263" s="209"/>
      <c r="J263" s="209"/>
      <c r="K263" s="209"/>
      <c r="L263" s="209">
        <f>IF(AND('PR-RAS'!D604&gt;0,'PR-RAS'!D952=0),1,0)</f>
        <v>0</v>
      </c>
      <c r="M263" s="209">
        <f>IF(AND('PR-RAS'!E604&gt;0,'PR-RAS'!E952=0),1,0)</f>
        <v>0</v>
      </c>
      <c r="N263" s="209"/>
      <c r="O263" s="209"/>
      <c r="P263" s="209"/>
    </row>
    <row r="264" spans="1:16" ht="30" customHeight="1" x14ac:dyDescent="0.2">
      <c r="A264" s="74">
        <v>227</v>
      </c>
      <c r="B264" s="75" t="str">
        <f t="shared" si="11"/>
        <v>O.K.</v>
      </c>
      <c r="C264" s="153" t="s">
        <v>3297</v>
      </c>
      <c r="D264" s="73"/>
      <c r="E264" s="209">
        <f t="shared" si="12"/>
        <v>0</v>
      </c>
      <c r="F264" s="209">
        <f t="shared" si="13"/>
        <v>0</v>
      </c>
      <c r="G264" s="209"/>
      <c r="H264" s="209"/>
      <c r="I264" s="209"/>
      <c r="J264" s="209"/>
      <c r="K264" s="209"/>
      <c r="L264" s="209">
        <f>IF(AND('PR-RAS'!D607&gt;0,'PR-RAS'!D956=0),1,0)</f>
        <v>0</v>
      </c>
      <c r="M264" s="209">
        <f>IF(AND('PR-RAS'!E607&gt;0,'PR-RAS'!E956=0),1,0)</f>
        <v>0</v>
      </c>
      <c r="N264" s="209"/>
      <c r="O264" s="209"/>
      <c r="P264" s="209"/>
    </row>
    <row r="265" spans="1:16" ht="30" customHeight="1" x14ac:dyDescent="0.2">
      <c r="A265" s="74">
        <v>228</v>
      </c>
      <c r="B265" s="75" t="str">
        <f t="shared" si="11"/>
        <v>O.K.</v>
      </c>
      <c r="C265" s="153" t="s">
        <v>3298</v>
      </c>
      <c r="D265" s="73"/>
      <c r="E265" s="209">
        <f t="shared" si="12"/>
        <v>0</v>
      </c>
      <c r="F265" s="209">
        <f t="shared" si="13"/>
        <v>0</v>
      </c>
      <c r="G265" s="209"/>
      <c r="H265" s="209"/>
      <c r="I265" s="209"/>
      <c r="J265" s="209"/>
      <c r="K265" s="209"/>
      <c r="L265" s="209">
        <f>IF(AND('PR-RAS'!D608&gt;0,SUM('PR-RAS'!D957:D958)=0),1,0)</f>
        <v>0</v>
      </c>
      <c r="M265" s="209">
        <f>IF(AND('PR-RAS'!E608&gt;0,SUM('PR-RAS'!E957:E958)=0),1,0)</f>
        <v>0</v>
      </c>
      <c r="N265" s="209"/>
      <c r="O265" s="209"/>
      <c r="P265" s="209"/>
    </row>
    <row r="266" spans="1:16" ht="30" customHeight="1" x14ac:dyDescent="0.2">
      <c r="A266" s="74">
        <v>229</v>
      </c>
      <c r="B266" s="75" t="str">
        <f t="shared" si="11"/>
        <v>O.K.</v>
      </c>
      <c r="C266" s="153" t="s">
        <v>3299</v>
      </c>
      <c r="D266" s="73"/>
      <c r="E266" s="209">
        <f t="shared" si="12"/>
        <v>0</v>
      </c>
      <c r="F266" s="209">
        <f t="shared" si="13"/>
        <v>0</v>
      </c>
      <c r="G266" s="209"/>
      <c r="H266" s="209"/>
      <c r="I266" s="209"/>
      <c r="J266" s="209"/>
      <c r="K266" s="209"/>
      <c r="L266" s="209">
        <f>IF(AND('PR-RAS'!D610&gt;0,'PR-RAS'!D962=0),1,0)</f>
        <v>0</v>
      </c>
      <c r="M266" s="209">
        <f>IF(AND('PR-RAS'!E610&gt;0,'PR-RAS'!E962=0),1,0)</f>
        <v>0</v>
      </c>
      <c r="N266" s="209"/>
      <c r="O266" s="209"/>
      <c r="P266" s="209"/>
    </row>
    <row r="267" spans="1:16" ht="30" customHeight="1" x14ac:dyDescent="0.2">
      <c r="A267" s="74">
        <v>230</v>
      </c>
      <c r="B267" s="75" t="str">
        <f t="shared" si="11"/>
        <v>O.K.</v>
      </c>
      <c r="C267" s="153" t="s">
        <v>3300</v>
      </c>
      <c r="D267" s="73"/>
      <c r="E267" s="209">
        <f t="shared" si="12"/>
        <v>0</v>
      </c>
      <c r="F267" s="209">
        <f t="shared" si="13"/>
        <v>0</v>
      </c>
      <c r="G267" s="209"/>
      <c r="H267" s="209"/>
      <c r="I267" s="209"/>
      <c r="J267" s="209"/>
      <c r="K267" s="209"/>
      <c r="L267" s="209">
        <f>IF(AND('PR-RAS'!D611&gt;0,SUM('PR-RAS'!D963:D964)=0),1,0)</f>
        <v>0</v>
      </c>
      <c r="M267" s="209">
        <f>IF(AND('PR-RAS'!E611&gt;0,SUM('PR-RAS'!E963:E964)=0),1,0)</f>
        <v>0</v>
      </c>
      <c r="N267" s="209"/>
      <c r="O267" s="209"/>
      <c r="P267" s="209"/>
    </row>
    <row r="268" spans="1:16" ht="30" customHeight="1" x14ac:dyDescent="0.2">
      <c r="A268" s="74">
        <v>231</v>
      </c>
      <c r="B268" s="75" t="str">
        <f t="shared" si="11"/>
        <v>O.K.</v>
      </c>
      <c r="C268" s="153" t="s">
        <v>3301</v>
      </c>
      <c r="D268" s="73"/>
      <c r="E268" s="209">
        <f t="shared" si="12"/>
        <v>0</v>
      </c>
      <c r="F268" s="209">
        <f t="shared" si="13"/>
        <v>0</v>
      </c>
      <c r="G268" s="209"/>
      <c r="H268" s="209"/>
      <c r="I268" s="209"/>
      <c r="J268" s="209"/>
      <c r="K268" s="209"/>
      <c r="L268" s="209">
        <f>IF(AND('PR-RAS'!D613&gt;0,'PR-RAS'!D965=0),1,0)</f>
        <v>0</v>
      </c>
      <c r="M268" s="209">
        <f>IF(AND('PR-RAS'!E613&gt;0,'PR-RAS'!E965=0),1,0)</f>
        <v>0</v>
      </c>
      <c r="N268" s="209"/>
      <c r="O268" s="209"/>
      <c r="P268" s="209"/>
    </row>
    <row r="269" spans="1:16" ht="30" customHeight="1" x14ac:dyDescent="0.2">
      <c r="A269" s="74">
        <v>232</v>
      </c>
      <c r="B269" s="75" t="str">
        <f t="shared" si="11"/>
        <v>O.K.</v>
      </c>
      <c r="C269" s="153" t="s">
        <v>3302</v>
      </c>
      <c r="D269" s="73"/>
      <c r="E269" s="209">
        <f t="shared" si="12"/>
        <v>0</v>
      </c>
      <c r="F269" s="209">
        <f t="shared" si="13"/>
        <v>0</v>
      </c>
      <c r="G269" s="209"/>
      <c r="H269" s="209"/>
      <c r="I269" s="209"/>
      <c r="J269" s="209"/>
      <c r="K269" s="209"/>
      <c r="L269" s="209">
        <f>IF(AND('PR-RAS'!D614&gt;0,'PR-RAS'!D966=0),1,0)</f>
        <v>0</v>
      </c>
      <c r="M269" s="209">
        <f>IF(AND('PR-RAS'!E614&gt;0,'PR-RAS'!E966=0),1,0)</f>
        <v>0</v>
      </c>
      <c r="N269" s="209"/>
      <c r="O269" s="209"/>
      <c r="P269" s="209"/>
    </row>
    <row r="270" spans="1:16" ht="30" customHeight="1" x14ac:dyDescent="0.2">
      <c r="A270" s="74">
        <v>233</v>
      </c>
      <c r="B270" s="75" t="str">
        <f t="shared" si="11"/>
        <v>O.K.</v>
      </c>
      <c r="C270" s="153" t="s">
        <v>3303</v>
      </c>
      <c r="D270" s="73"/>
      <c r="E270" s="209">
        <f t="shared" si="12"/>
        <v>0</v>
      </c>
      <c r="F270" s="209">
        <f t="shared" si="13"/>
        <v>0</v>
      </c>
      <c r="G270" s="209"/>
      <c r="H270" s="209"/>
      <c r="I270" s="209"/>
      <c r="J270" s="209"/>
      <c r="K270" s="209"/>
      <c r="L270" s="209">
        <f>IF(AND('PR-RAS'!D615&gt;0,'PR-RAS'!D967=0),1,0)</f>
        <v>0</v>
      </c>
      <c r="M270" s="209">
        <f>IF(AND('PR-RAS'!E615&gt;0,'PR-RAS'!E967=0),1,0)</f>
        <v>0</v>
      </c>
      <c r="N270" s="209"/>
      <c r="O270" s="209"/>
      <c r="P270" s="209"/>
    </row>
    <row r="271" spans="1:16" ht="30" customHeight="1" x14ac:dyDescent="0.2">
      <c r="A271" s="74">
        <v>234</v>
      </c>
      <c r="B271" s="75" t="str">
        <f t="shared" si="11"/>
        <v>O.K.</v>
      </c>
      <c r="C271" s="153" t="s">
        <v>3304</v>
      </c>
      <c r="D271" s="73"/>
      <c r="E271" s="209">
        <f t="shared" si="12"/>
        <v>0</v>
      </c>
      <c r="F271" s="209">
        <f t="shared" si="13"/>
        <v>0</v>
      </c>
      <c r="G271" s="209"/>
      <c r="H271" s="209"/>
      <c r="I271" s="209"/>
      <c r="J271" s="209"/>
      <c r="K271" s="209"/>
      <c r="L271" s="209">
        <f>IF(AND('PR-RAS'!D633&gt;0,'PR-RAS'!D982=0),1,0)</f>
        <v>0</v>
      </c>
      <c r="M271" s="209">
        <f>IF(AND('PR-RAS'!E633&gt;0,'PR-RAS'!E982=0),1,0)</f>
        <v>0</v>
      </c>
      <c r="N271" s="209"/>
      <c r="O271" s="209"/>
      <c r="P271" s="209"/>
    </row>
    <row r="272" spans="1:16" ht="30" customHeight="1" x14ac:dyDescent="0.2">
      <c r="A272" s="74">
        <v>235</v>
      </c>
      <c r="B272" s="75" t="str">
        <f t="shared" si="11"/>
        <v>O.K.</v>
      </c>
      <c r="C272" s="253" t="s">
        <v>3305</v>
      </c>
      <c r="D272" s="73"/>
      <c r="E272" s="209">
        <f t="shared" si="12"/>
        <v>0</v>
      </c>
      <c r="F272" s="209">
        <f t="shared" si="13"/>
        <v>0</v>
      </c>
      <c r="G272" s="209"/>
      <c r="H272" s="209"/>
      <c r="I272" s="209"/>
      <c r="J272" s="209"/>
      <c r="K272" s="209"/>
      <c r="L272" s="209">
        <f>IF(AND(J3="DA",MAX('PR-RAS'!D6:D651)=0,MIN('PR-RAS'!D6:D651)=0),1,0)</f>
        <v>0</v>
      </c>
      <c r="M272" s="209">
        <f>IF(AND(J3="DA",MAX('PR-RAS'!E6:E651)=0,MIN('PR-RAS'!E6:E651)=0),1,0)</f>
        <v>0</v>
      </c>
      <c r="N272" s="209"/>
      <c r="O272" s="209"/>
      <c r="P272" s="209"/>
    </row>
    <row r="273" spans="1:17" ht="42" customHeight="1" x14ac:dyDescent="0.2">
      <c r="A273" s="74">
        <v>236</v>
      </c>
      <c r="B273" s="75" t="str">
        <f t="shared" si="11"/>
        <v>O.K.</v>
      </c>
      <c r="C273" s="153" t="s">
        <v>3306</v>
      </c>
      <c r="D273" s="73"/>
      <c r="E273" s="209">
        <f t="shared" si="12"/>
        <v>0</v>
      </c>
      <c r="F273" s="209">
        <f t="shared" si="13"/>
        <v>0</v>
      </c>
      <c r="G273" s="209"/>
      <c r="H273" s="209">
        <f>IF(OR('PR-RAS'!D292*'PR-RAS'!D293&gt;0,'PR-RAS'!D409*'PR-RAS'!D410&gt;0,'PR-RAS'!D637*'PR-RAS'!D638&gt;0),1,0)</f>
        <v>0</v>
      </c>
      <c r="I273" s="209">
        <f>IF(OR('PR-RAS'!E292*'PR-RAS'!E293&gt;0,'PR-RAS'!E409*'PR-RAS'!E410&gt;0,'PR-RAS'!E637*'PR-RAS'!E638&gt;0),1,0)</f>
        <v>0</v>
      </c>
      <c r="J273" s="209"/>
      <c r="K273" s="209"/>
      <c r="L273" s="209"/>
      <c r="M273" s="209"/>
      <c r="N273" s="209"/>
      <c r="O273" s="209"/>
      <c r="P273" s="209"/>
    </row>
    <row r="274" spans="1:17" ht="36" customHeight="1" x14ac:dyDescent="0.2">
      <c r="A274" s="154">
        <v>258</v>
      </c>
      <c r="B274" s="75" t="str">
        <f t="shared" si="11"/>
        <v>O.K.</v>
      </c>
      <c r="C274" s="163" t="s">
        <v>3307</v>
      </c>
      <c r="D274" s="73"/>
      <c r="E274" s="209">
        <f t="shared" si="12"/>
        <v>0</v>
      </c>
      <c r="F274" s="209">
        <f t="shared" si="13"/>
        <v>0</v>
      </c>
      <c r="G274" s="209">
        <f>IF(AND(J3="DA",OR(ISBLANK('PR-RAS'!D292),ISBLANK('PR-RAS'!D409),ISBLANK('PR-RAS'!D637),ISBLANK('PR-RAS'!D293),ISBLANK('PR-RAS'!D410),ISBLANK('PR-RAS'!D638))),1,0)</f>
        <v>0</v>
      </c>
      <c r="H274" s="209">
        <f>IF(AND(J3="DA",OR(ISBLANK('PR-RAS'!E292),ISBLANK('PR-RAS'!E409),ISBLANK('PR-RAS'!E637),ISBLANK('PR-RAS'!E293),ISBLANK('PR-RAS'!E410),ISBLANK('PR-RAS'!E638))),1,0)</f>
        <v>0</v>
      </c>
      <c r="I274" s="209"/>
      <c r="J274" s="209"/>
      <c r="K274" s="209"/>
      <c r="L274" s="209"/>
      <c r="M274" s="209"/>
      <c r="N274" s="209"/>
      <c r="O274" s="209"/>
      <c r="Q274" s="209"/>
    </row>
    <row r="275" spans="1:17" ht="55.5" customHeight="1" x14ac:dyDescent="0.2">
      <c r="A275" s="74">
        <v>237</v>
      </c>
      <c r="B275" s="75" t="str">
        <f t="shared" si="11"/>
        <v>O.K.</v>
      </c>
      <c r="C275" s="253" t="s">
        <v>3308</v>
      </c>
      <c r="D275" s="73"/>
      <c r="E275" s="209">
        <f t="shared" si="12"/>
        <v>0</v>
      </c>
      <c r="F275" s="209">
        <f t="shared" si="13"/>
        <v>0</v>
      </c>
      <c r="G275" s="209">
        <f>IF(AND(OR(MAX('PR-RAS'!D653:E653,'PR-RAS'!D655:E655)&gt;10000,MAX('PR-RAS'!D654:E654,'PR-RAS'!D656:E656)&gt;35000),O3&lt;&gt;174,O3&lt;&gt;713,O3&lt;&gt;1222,O3&lt;&gt;47107),1,0)</f>
        <v>0</v>
      </c>
      <c r="H275" s="209">
        <f>IF(MAX('PR-RAS'!D653:E656)&gt;100000,1,0)</f>
        <v>0</v>
      </c>
      <c r="I275" s="209"/>
      <c r="J275" s="209"/>
      <c r="K275" s="209"/>
      <c r="L275" s="209">
        <f>IF(MAX('PR-RAS'!D653:E656)&gt;1000,1,0)</f>
        <v>0</v>
      </c>
      <c r="M275" s="209"/>
      <c r="N275" s="209"/>
      <c r="O275" s="209"/>
      <c r="P275" s="209"/>
    </row>
    <row r="276" spans="1:17" ht="36" customHeight="1" x14ac:dyDescent="0.2">
      <c r="A276" s="154">
        <v>257</v>
      </c>
      <c r="B276" s="75" t="str">
        <f t="shared" si="11"/>
        <v>O.K.</v>
      </c>
      <c r="C276" s="163" t="s">
        <v>3309</v>
      </c>
      <c r="D276" s="73"/>
      <c r="E276" s="209">
        <f t="shared" si="12"/>
        <v>0</v>
      </c>
      <c r="F276" s="209">
        <f t="shared" si="13"/>
        <v>0</v>
      </c>
      <c r="G276" s="209">
        <f>IF(MIN('PR-RAS'!D6:E992)&lt;-0.001,1,0)</f>
        <v>0</v>
      </c>
      <c r="H276" s="209"/>
      <c r="I276" s="209"/>
      <c r="J276" s="209"/>
      <c r="K276" s="209"/>
      <c r="L276" s="209"/>
      <c r="M276" s="209"/>
      <c r="N276" s="209"/>
      <c r="O276" s="209"/>
      <c r="P276" s="209"/>
    </row>
    <row r="277" spans="1:17" ht="19.5" customHeight="1" x14ac:dyDescent="0.2">
      <c r="A277" s="341" t="s">
        <v>32</v>
      </c>
      <c r="B277" s="342"/>
      <c r="C277" s="343"/>
      <c r="D277" s="73"/>
      <c r="E277" s="209">
        <f>SUM(E278:E311)</f>
        <v>0</v>
      </c>
      <c r="F277" s="209">
        <f>SUM(F278:F311)</f>
        <v>0</v>
      </c>
      <c r="G277" s="209"/>
      <c r="H277" s="209"/>
      <c r="I277" s="209"/>
      <c r="J277" s="209"/>
      <c r="K277" s="209"/>
      <c r="L277" s="209"/>
      <c r="M277" s="209"/>
      <c r="N277" s="209"/>
      <c r="O277" s="209"/>
      <c r="P277" s="209"/>
    </row>
    <row r="278" spans="1:17" ht="20.25" customHeight="1" x14ac:dyDescent="0.2">
      <c r="A278" s="74">
        <v>1</v>
      </c>
      <c r="B278" s="75" t="str">
        <f t="shared" ref="B278:B311" si="14">IF(E278=1,"Pogreška",IF(F278=1,"Provjera","O.K."))</f>
        <v>O.K.</v>
      </c>
      <c r="C278" s="163" t="s">
        <v>3310</v>
      </c>
      <c r="D278" s="73"/>
      <c r="E278" s="209">
        <f t="shared" ref="E278:E311" si="15">MAX(G278:K278)</f>
        <v>0</v>
      </c>
      <c r="F278" s="209">
        <f t="shared" ref="F278:F311" si="16">MAX(L278:O278)</f>
        <v>0</v>
      </c>
      <c r="G278" s="209">
        <f>IF(ABS(BILANCA!D6-BILANCA!D175)&gt;0.001,1,0)</f>
        <v>0</v>
      </c>
      <c r="H278" s="209">
        <f>IF(ABS(BILANCA!E6-BILANCA!E175)&gt;0.001,1,0)</f>
        <v>0</v>
      </c>
      <c r="I278" s="209"/>
      <c r="J278" s="209"/>
      <c r="K278" s="209"/>
      <c r="L278" s="209"/>
      <c r="M278" s="209"/>
      <c r="N278" s="209"/>
      <c r="O278" s="209"/>
      <c r="P278" s="209"/>
    </row>
    <row r="279" spans="1:17" ht="18" customHeight="1" x14ac:dyDescent="0.2">
      <c r="A279" s="74">
        <v>26</v>
      </c>
      <c r="B279" s="75" t="str">
        <f t="shared" si="14"/>
        <v>O.K.</v>
      </c>
      <c r="C279" s="163" t="s">
        <v>3311</v>
      </c>
      <c r="D279" s="73"/>
      <c r="E279" s="209">
        <f t="shared" si="15"/>
        <v>0</v>
      </c>
      <c r="F279" s="209">
        <f t="shared" si="16"/>
        <v>0</v>
      </c>
      <c r="G279" s="209">
        <f>IF(AND(OR(I3=41,I3=42),O3&lt;&gt;23911,O3&lt;&gt;25843,MAX(BILANCA!D161:E161,BILANCA!D286:E286)&gt;0),1,0)</f>
        <v>0</v>
      </c>
      <c r="H279" s="209"/>
      <c r="I279" s="209"/>
      <c r="J279" s="209"/>
      <c r="K279" s="209"/>
      <c r="L279" s="209"/>
      <c r="M279" s="209"/>
      <c r="N279" s="209"/>
      <c r="O279" s="209"/>
      <c r="P279" s="209"/>
    </row>
    <row r="280" spans="1:17" ht="18" customHeight="1" x14ac:dyDescent="0.2">
      <c r="A280" s="74">
        <v>27</v>
      </c>
      <c r="B280" s="75" t="str">
        <f t="shared" si="14"/>
        <v>O.K.</v>
      </c>
      <c r="C280" s="163" t="s">
        <v>3312</v>
      </c>
      <c r="D280" s="73"/>
      <c r="E280" s="209">
        <f t="shared" si="15"/>
        <v>0</v>
      </c>
      <c r="F280" s="209">
        <f t="shared" si="16"/>
        <v>0</v>
      </c>
      <c r="G280" s="209">
        <f>IF(AND(I3=23,MAX(BILANCA!D286:E286)&gt;0),1,0)</f>
        <v>0</v>
      </c>
      <c r="H280" s="209"/>
      <c r="I280" s="209"/>
      <c r="J280" s="209"/>
      <c r="K280" s="209"/>
      <c r="L280" s="209"/>
      <c r="M280" s="209"/>
      <c r="N280" s="209"/>
      <c r="O280" s="209"/>
      <c r="P280" s="209"/>
    </row>
    <row r="281" spans="1:17" ht="18" customHeight="1" x14ac:dyDescent="0.2">
      <c r="A281" s="74">
        <v>46</v>
      </c>
      <c r="B281" s="75" t="str">
        <f t="shared" si="14"/>
        <v>O.K.</v>
      </c>
      <c r="C281" s="163" t="s">
        <v>3313</v>
      </c>
      <c r="D281" s="73"/>
      <c r="E281" s="209">
        <f t="shared" si="15"/>
        <v>0</v>
      </c>
      <c r="F281" s="209">
        <f t="shared" si="16"/>
        <v>0</v>
      </c>
      <c r="G281" s="209">
        <f>IF(AND(OR(I3=11,I3=12,I3=21,I3=31,I3=23,I3=41,I3=42),MAX(BILANCA!D300:E300)&gt;0),1,0)</f>
        <v>0</v>
      </c>
      <c r="H281" s="209"/>
      <c r="I281" s="209"/>
      <c r="J281" s="209"/>
      <c r="K281" s="209"/>
      <c r="L281" s="209"/>
      <c r="M281" s="209"/>
      <c r="N281" s="209"/>
      <c r="O281" s="209"/>
      <c r="P281" s="209"/>
    </row>
    <row r="282" spans="1:17" ht="19.5" customHeight="1" x14ac:dyDescent="0.2">
      <c r="A282" s="74">
        <v>2</v>
      </c>
      <c r="B282" s="75" t="str">
        <f t="shared" si="14"/>
        <v>O.K.</v>
      </c>
      <c r="C282" s="163" t="s">
        <v>3314</v>
      </c>
      <c r="D282" s="73"/>
      <c r="E282" s="209">
        <f t="shared" si="15"/>
        <v>0</v>
      </c>
      <c r="F282" s="209">
        <f t="shared" si="16"/>
        <v>0</v>
      </c>
      <c r="G282" s="209">
        <f>IF(AND(BILANCA!D247&lt;&gt;0,BILANCA!D251&lt;&gt;0),1,0)</f>
        <v>0</v>
      </c>
      <c r="H282" s="209">
        <f>IF(AND(BILANCA!E247&lt;&gt;0,BILANCA!E251&lt;&gt;0),1,0)</f>
        <v>0</v>
      </c>
      <c r="I282" s="209"/>
      <c r="J282" s="209"/>
      <c r="K282" s="209"/>
      <c r="L282" s="209"/>
      <c r="M282" s="209"/>
      <c r="N282" s="209"/>
      <c r="O282" s="209"/>
      <c r="P282" s="209"/>
    </row>
    <row r="283" spans="1:17" ht="19.5" customHeight="1" x14ac:dyDescent="0.2">
      <c r="A283" s="74">
        <v>3</v>
      </c>
      <c r="B283" s="75" t="str">
        <f t="shared" si="14"/>
        <v>O.K.</v>
      </c>
      <c r="C283" s="163" t="s">
        <v>3315</v>
      </c>
      <c r="D283" s="73"/>
      <c r="E283" s="209">
        <f t="shared" si="15"/>
        <v>0</v>
      </c>
      <c r="F283" s="209">
        <f t="shared" si="16"/>
        <v>0</v>
      </c>
      <c r="G283" s="209">
        <f>IF(AND(BILANCA!D248&lt;&gt;0,BILANCA!D252&lt;&gt;0),1,0)</f>
        <v>0</v>
      </c>
      <c r="H283" s="209">
        <f>IF(AND(BILANCA!E248&lt;&gt;0,BILANCA!E252&lt;&gt;0),1,0)</f>
        <v>0</v>
      </c>
      <c r="I283" s="209"/>
      <c r="J283" s="209"/>
      <c r="K283" s="209"/>
      <c r="L283" s="209"/>
      <c r="M283" s="209"/>
      <c r="N283" s="209"/>
      <c r="O283" s="209"/>
      <c r="P283" s="209"/>
    </row>
    <row r="284" spans="1:17" ht="19.5" customHeight="1" x14ac:dyDescent="0.2">
      <c r="A284" s="74">
        <v>4</v>
      </c>
      <c r="B284" s="75" t="str">
        <f t="shared" si="14"/>
        <v>O.K.</v>
      </c>
      <c r="C284" s="163" t="s">
        <v>3316</v>
      </c>
      <c r="D284" s="73"/>
      <c r="E284" s="209">
        <f t="shared" si="15"/>
        <v>0</v>
      </c>
      <c r="F284" s="209">
        <f t="shared" si="16"/>
        <v>0</v>
      </c>
      <c r="G284" s="209">
        <f>IF(AND(BILANCA!D249&lt;&gt;0,BILANCA!D253&lt;&gt;0),1,0)</f>
        <v>0</v>
      </c>
      <c r="H284" s="209">
        <f>IF(AND(BILANCA!E249&lt;&gt;0,BILANCA!E253&lt;&gt;0),1,0)</f>
        <v>0</v>
      </c>
      <c r="I284" s="209"/>
      <c r="J284" s="209"/>
      <c r="K284" s="209"/>
      <c r="L284" s="209"/>
      <c r="M284" s="209"/>
      <c r="N284" s="209"/>
      <c r="O284" s="209"/>
      <c r="P284" s="209"/>
    </row>
    <row r="285" spans="1:17" ht="19.5" customHeight="1" x14ac:dyDescent="0.2">
      <c r="A285" s="74">
        <v>5</v>
      </c>
      <c r="B285" s="75" t="str">
        <f t="shared" si="14"/>
        <v>O.K.</v>
      </c>
      <c r="C285" s="257" t="s">
        <v>3317</v>
      </c>
      <c r="D285" s="73"/>
      <c r="E285" s="209">
        <f t="shared" si="15"/>
        <v>0</v>
      </c>
      <c r="F285" s="209">
        <f t="shared" si="16"/>
        <v>0</v>
      </c>
      <c r="G285" s="209">
        <f>IF(MIN(BILANCA!D6:E236,BILANCA!D240:E244,BILANCA!D246:E322)&lt;0,1,0)</f>
        <v>0</v>
      </c>
      <c r="H285" s="209"/>
      <c r="I285" s="209"/>
      <c r="J285" s="209"/>
      <c r="K285" s="209"/>
      <c r="L285" s="209"/>
      <c r="M285" s="209"/>
      <c r="N285" s="209"/>
      <c r="O285" s="209"/>
      <c r="P285" s="209"/>
    </row>
    <row r="286" spans="1:17" ht="19.5" customHeight="1" x14ac:dyDescent="0.2">
      <c r="A286" s="74">
        <v>30</v>
      </c>
      <c r="B286" s="75" t="str">
        <f t="shared" si="14"/>
        <v>O.K.</v>
      </c>
      <c r="C286" s="163" t="s">
        <v>3318</v>
      </c>
      <c r="D286" s="73"/>
      <c r="E286" s="209">
        <f t="shared" si="15"/>
        <v>0</v>
      </c>
      <c r="F286" s="209">
        <f t="shared" si="16"/>
        <v>0</v>
      </c>
      <c r="G286" s="209">
        <f>IF(ABS(BILANCA!D86-SUM(BILANCA!D268:'BILANCA'!D273))&gt;0.001,1,0)</f>
        <v>0</v>
      </c>
      <c r="H286" s="209">
        <f>IF(ABS(BILANCA!E86-SUM(BILANCA!E268:'BILANCA'!E273))&gt;0.001,1,0)</f>
        <v>0</v>
      </c>
      <c r="I286" s="209"/>
      <c r="J286" s="209"/>
      <c r="K286" s="209"/>
      <c r="L286" s="209"/>
      <c r="M286" s="209"/>
      <c r="N286" s="209"/>
      <c r="O286" s="209"/>
      <c r="P286" s="209"/>
    </row>
    <row r="287" spans="1:17" ht="19.5" customHeight="1" x14ac:dyDescent="0.2">
      <c r="A287" s="74">
        <v>28</v>
      </c>
      <c r="B287" s="75" t="str">
        <f t="shared" si="14"/>
        <v>O.K.</v>
      </c>
      <c r="C287" s="163" t="s">
        <v>3319</v>
      </c>
      <c r="D287" s="73"/>
      <c r="E287" s="209">
        <f t="shared" si="15"/>
        <v>0</v>
      </c>
      <c r="F287" s="209">
        <f t="shared" si="16"/>
        <v>0</v>
      </c>
      <c r="G287" s="209">
        <f>IF(ABS(BILANCA!D156-SUM(BILANCA!D274:'BILANCA'!D281))&gt;0.001,1,0)</f>
        <v>0</v>
      </c>
      <c r="H287" s="209">
        <f>IF(ABS(BILANCA!E156-SUM(BILANCA!E274:'BILANCA'!E281))&gt;0.001,1,0)</f>
        <v>0</v>
      </c>
      <c r="I287" s="209"/>
      <c r="J287" s="209"/>
      <c r="K287" s="209"/>
      <c r="L287" s="209"/>
      <c r="M287" s="209"/>
      <c r="N287" s="209"/>
      <c r="O287" s="209"/>
      <c r="P287" s="209"/>
    </row>
    <row r="288" spans="1:17" ht="19.5" customHeight="1" x14ac:dyDescent="0.2">
      <c r="A288" s="74">
        <v>29</v>
      </c>
      <c r="B288" s="75" t="str">
        <f t="shared" si="14"/>
        <v>O.K.</v>
      </c>
      <c r="C288" s="163" t="s">
        <v>3320</v>
      </c>
      <c r="D288" s="73"/>
      <c r="E288" s="209">
        <f t="shared" si="15"/>
        <v>0</v>
      </c>
      <c r="F288" s="209">
        <f t="shared" si="16"/>
        <v>0</v>
      </c>
      <c r="G288" s="209">
        <f>IF(ROUND(BILANCA!D160,2)&lt;ROUND(SUM(BILANCA!D282:'BILANCA'!D285),2),1,0)</f>
        <v>0</v>
      </c>
      <c r="H288" s="209">
        <f>IF(ROUND(BILANCA!E160,2)&lt;ROUND(SUM(BILANCA!E282:'BILANCA'!E285),2),1,0)</f>
        <v>0</v>
      </c>
      <c r="I288" s="209"/>
      <c r="J288" s="209"/>
      <c r="K288" s="209"/>
      <c r="L288" s="209"/>
      <c r="M288" s="209"/>
      <c r="N288" s="209"/>
      <c r="O288" s="209"/>
      <c r="P288" s="209"/>
    </row>
    <row r="289" spans="1:16" ht="19.5" customHeight="1" x14ac:dyDescent="0.2">
      <c r="A289" s="74">
        <v>18</v>
      </c>
      <c r="B289" s="75" t="str">
        <f t="shared" si="14"/>
        <v>O.K.</v>
      </c>
      <c r="C289" s="163" t="s">
        <v>3321</v>
      </c>
      <c r="D289" s="73"/>
      <c r="E289" s="209">
        <f t="shared" si="15"/>
        <v>0</v>
      </c>
      <c r="F289" s="209">
        <f t="shared" si="16"/>
        <v>0</v>
      </c>
      <c r="G289" s="209">
        <f>IF(ROUND(BILANCA!D286,2)&gt;ROUND(BILANCA!D161,2),1,0)</f>
        <v>0</v>
      </c>
      <c r="H289" s="209">
        <f>IF(ROUND(BILANCA!E286,2)&gt;ROUND(BILANCA!E161,2),1,0)</f>
        <v>0</v>
      </c>
      <c r="I289" s="209"/>
      <c r="J289" s="209"/>
      <c r="K289" s="209"/>
      <c r="L289" s="209"/>
      <c r="M289" s="209"/>
      <c r="N289" s="209"/>
      <c r="O289" s="209"/>
      <c r="P289" s="209"/>
    </row>
    <row r="290" spans="1:16" ht="19.5" customHeight="1" x14ac:dyDescent="0.2">
      <c r="A290" s="74">
        <v>19</v>
      </c>
      <c r="B290" s="75" t="str">
        <f t="shared" si="14"/>
        <v>O.K.</v>
      </c>
      <c r="C290" s="257" t="s">
        <v>3322</v>
      </c>
      <c r="D290" s="73"/>
      <c r="E290" s="209">
        <f t="shared" si="15"/>
        <v>0</v>
      </c>
      <c r="F290" s="209">
        <f t="shared" si="16"/>
        <v>0</v>
      </c>
      <c r="G290" s="209">
        <f>IF(ABS(BILANCA!D88+BILANCA!D106-BILANCA!D262-BILANCA!D263)&gt;0.001,1,0)</f>
        <v>0</v>
      </c>
      <c r="H290" s="209">
        <f>IF(ABS(BILANCA!E88+BILANCA!E106-BILANCA!E262-BILANCA!E263)&gt;0.001,1,0)</f>
        <v>0</v>
      </c>
      <c r="I290" s="209"/>
      <c r="J290" s="209"/>
      <c r="K290" s="209"/>
      <c r="L290" s="209"/>
      <c r="M290" s="209"/>
      <c r="N290" s="209"/>
      <c r="O290" s="209"/>
      <c r="P290" s="209"/>
    </row>
    <row r="291" spans="1:16" ht="19.5" customHeight="1" x14ac:dyDescent="0.2">
      <c r="A291" s="74">
        <v>20</v>
      </c>
      <c r="B291" s="75" t="str">
        <f t="shared" si="14"/>
        <v>O.K.</v>
      </c>
      <c r="C291" s="257" t="s">
        <v>3323</v>
      </c>
      <c r="D291" s="73"/>
      <c r="E291" s="209">
        <f t="shared" si="15"/>
        <v>0</v>
      </c>
      <c r="F291" s="209">
        <f t="shared" si="16"/>
        <v>0</v>
      </c>
      <c r="G291" s="209">
        <f>IF(ABS(SUM(BILANCA!D147:D149,BILANCA!D158:D162)-BILANCA!D264-BILANCA!D265)&gt;0.001,1,0)</f>
        <v>0</v>
      </c>
      <c r="H291" s="209">
        <f>IF(ABS(SUM(BILANCA!E147:E149,BILANCA!E158:E162)-BILANCA!E264-BILANCA!E265)&gt;0.001,1,0)</f>
        <v>0</v>
      </c>
      <c r="I291" s="209"/>
      <c r="J291" s="209"/>
      <c r="K291" s="209"/>
      <c r="L291" s="209"/>
      <c r="M291" s="209"/>
      <c r="N291" s="209"/>
      <c r="O291" s="209"/>
      <c r="P291" s="209"/>
    </row>
    <row r="292" spans="1:16" ht="19.5" customHeight="1" x14ac:dyDescent="0.2">
      <c r="A292" s="74">
        <v>21</v>
      </c>
      <c r="B292" s="75" t="str">
        <f t="shared" si="14"/>
        <v>O.K.</v>
      </c>
      <c r="C292" s="257" t="s">
        <v>3324</v>
      </c>
      <c r="D292" s="73"/>
      <c r="E292" s="209">
        <f t="shared" si="15"/>
        <v>0</v>
      </c>
      <c r="F292" s="209">
        <f t="shared" si="16"/>
        <v>0</v>
      </c>
      <c r="G292" s="209">
        <f>IF(ABS(SUM(BILANCA!D165:D168)-BILANCA!D266-BILANCA!D267)&gt;0.001,1,0)</f>
        <v>0</v>
      </c>
      <c r="H292" s="209">
        <f>IF(ABS(SUM(BILANCA!E165:E168)-BILANCA!E266-BILANCA!E267)&gt;0.001,1,0)</f>
        <v>0</v>
      </c>
      <c r="I292" s="209"/>
      <c r="J292" s="209"/>
      <c r="K292" s="209"/>
      <c r="L292" s="209"/>
      <c r="M292" s="209"/>
      <c r="N292" s="209"/>
      <c r="O292" s="209"/>
      <c r="P292" s="209"/>
    </row>
    <row r="293" spans="1:16" ht="19.5" customHeight="1" x14ac:dyDescent="0.2">
      <c r="A293" s="74">
        <v>31</v>
      </c>
      <c r="B293" s="75" t="str">
        <f t="shared" si="14"/>
        <v>O.K.</v>
      </c>
      <c r="C293" s="257" t="s">
        <v>3325</v>
      </c>
      <c r="D293" s="73"/>
      <c r="E293" s="209">
        <f t="shared" si="15"/>
        <v>0</v>
      </c>
      <c r="F293" s="209">
        <f t="shared" si="16"/>
        <v>0</v>
      </c>
      <c r="G293" s="209">
        <f>IF(ROUND(BILANCA!D188,2)&lt;ROUND(SUM(BILANCA!D295:'BILANCA'!D302),2),1,0)</f>
        <v>0</v>
      </c>
      <c r="H293" s="209">
        <f>IF(ROUND(BILANCA!E188,2)&lt;ROUND(SUM(BILANCA!E295:'BILANCA'!E302),2),1,0)</f>
        <v>0</v>
      </c>
      <c r="I293" s="209"/>
      <c r="J293" s="209"/>
      <c r="K293" s="209"/>
      <c r="L293" s="209"/>
      <c r="M293" s="209"/>
      <c r="N293" s="209"/>
      <c r="O293" s="209"/>
      <c r="P293" s="209"/>
    </row>
    <row r="294" spans="1:16" ht="19.5" customHeight="1" x14ac:dyDescent="0.2">
      <c r="A294" s="74">
        <v>32</v>
      </c>
      <c r="B294" s="75" t="str">
        <f t="shared" si="14"/>
        <v>O.K.</v>
      </c>
      <c r="C294" s="257" t="s">
        <v>3326</v>
      </c>
      <c r="D294" s="73"/>
      <c r="E294" s="209">
        <f t="shared" si="15"/>
        <v>0</v>
      </c>
      <c r="F294" s="209">
        <f t="shared" si="16"/>
        <v>0</v>
      </c>
      <c r="G294" s="209">
        <f>IF(ROUND(BILANCA!D208,2)&lt;ROUND(SUM(BILANCA!D303:'BILANCA'!D304),2),1,0)</f>
        <v>0</v>
      </c>
      <c r="H294" s="209">
        <f>IF(ROUND(BILANCA!E208,2)&lt;ROUND(SUM(BILANCA!E303:'BILANCA'!E304),2),1,0)</f>
        <v>0</v>
      </c>
      <c r="I294" s="209"/>
      <c r="J294" s="209"/>
      <c r="K294" s="209"/>
      <c r="L294" s="209"/>
      <c r="M294" s="209"/>
      <c r="N294" s="209"/>
      <c r="O294" s="209"/>
      <c r="P294" s="209"/>
    </row>
    <row r="295" spans="1:16" ht="19.5" customHeight="1" x14ac:dyDescent="0.2">
      <c r="A295" s="74">
        <v>33</v>
      </c>
      <c r="B295" s="75" t="str">
        <f t="shared" si="14"/>
        <v>O.K.</v>
      </c>
      <c r="C295" s="257" t="s">
        <v>3327</v>
      </c>
      <c r="D295" s="73"/>
      <c r="E295" s="209">
        <f t="shared" si="15"/>
        <v>0</v>
      </c>
      <c r="F295" s="209">
        <f t="shared" si="16"/>
        <v>0</v>
      </c>
      <c r="G295" s="209">
        <f>IF(ROUND(BILANCA!D209,2)&lt;ROUND(BILANCA!D305,2),1,0)</f>
        <v>0</v>
      </c>
      <c r="H295" s="209">
        <f>IF(ROUND(BILANCA!E209,2)&lt;ROUND(BILANCA!E305,2),1,0)</f>
        <v>0</v>
      </c>
      <c r="I295" s="209"/>
      <c r="J295" s="209"/>
      <c r="K295" s="209"/>
      <c r="L295" s="209"/>
      <c r="M295" s="209"/>
      <c r="N295" s="209"/>
      <c r="O295" s="209"/>
      <c r="P295" s="209"/>
    </row>
    <row r="296" spans="1:16" ht="19.5" customHeight="1" x14ac:dyDescent="0.2">
      <c r="A296" s="74">
        <v>34</v>
      </c>
      <c r="B296" s="75" t="str">
        <f t="shared" si="14"/>
        <v>O.K.</v>
      </c>
      <c r="C296" s="257" t="s">
        <v>3328</v>
      </c>
      <c r="D296" s="73"/>
      <c r="E296" s="209">
        <f t="shared" si="15"/>
        <v>0</v>
      </c>
      <c r="F296" s="209">
        <f t="shared" si="16"/>
        <v>0</v>
      </c>
      <c r="G296" s="209">
        <f>IF(ROUND(BILANCA!D210,2)&lt;ROUND(SUM(BILANCA!D306:'BILANCA'!D307),2),1,0)</f>
        <v>0</v>
      </c>
      <c r="H296" s="209">
        <f>IF(ROUND(BILANCA!E210,2)&lt;ROUND(SUM(BILANCA!E306:'BILANCA'!E307),2),1,0)</f>
        <v>0</v>
      </c>
      <c r="I296" s="209"/>
      <c r="J296" s="209"/>
      <c r="K296" s="209"/>
      <c r="L296" s="209"/>
      <c r="M296" s="209"/>
      <c r="N296" s="209"/>
      <c r="O296" s="209"/>
      <c r="P296" s="209"/>
    </row>
    <row r="297" spans="1:16" ht="19.5" customHeight="1" x14ac:dyDescent="0.2">
      <c r="A297" s="74">
        <v>35</v>
      </c>
      <c r="B297" s="75" t="str">
        <f t="shared" si="14"/>
        <v>O.K.</v>
      </c>
      <c r="C297" s="257" t="s">
        <v>3329</v>
      </c>
      <c r="D297" s="73"/>
      <c r="E297" s="209">
        <f t="shared" si="15"/>
        <v>0</v>
      </c>
      <c r="F297" s="209">
        <f t="shared" si="16"/>
        <v>0</v>
      </c>
      <c r="G297" s="209">
        <f>IF(ROUND(BILANCA!D211,2)&lt;ROUND(BILANCA!D308,2),1,0)</f>
        <v>0</v>
      </c>
      <c r="H297" s="209">
        <f>IF(ROUND(BILANCA!E211,2)&lt;ROUND(BILANCA!E308,2),1,0)</f>
        <v>0</v>
      </c>
      <c r="I297" s="209"/>
      <c r="J297" s="209"/>
      <c r="K297" s="209"/>
      <c r="L297" s="209"/>
      <c r="M297" s="209"/>
      <c r="N297" s="209"/>
      <c r="O297" s="209"/>
      <c r="P297" s="209"/>
    </row>
    <row r="298" spans="1:16" ht="19.5" customHeight="1" x14ac:dyDescent="0.2">
      <c r="A298" s="74">
        <v>36</v>
      </c>
      <c r="B298" s="75" t="str">
        <f t="shared" si="14"/>
        <v>O.K.</v>
      </c>
      <c r="C298" s="257" t="s">
        <v>3330</v>
      </c>
      <c r="D298" s="73"/>
      <c r="E298" s="209">
        <f t="shared" si="15"/>
        <v>0</v>
      </c>
      <c r="F298" s="209">
        <f t="shared" si="16"/>
        <v>0</v>
      </c>
      <c r="G298" s="209">
        <f>IF(ROUND(BILANCA!D212,2)&lt;ROUND(SUM(BILANCA!D309:'BILANCA'!D310),2),1,0)</f>
        <v>0</v>
      </c>
      <c r="H298" s="209">
        <f>IF(ROUND(BILANCA!E212,2)&lt;ROUND(SUM(BILANCA!E309:'BILANCA'!E310),2),1,0)</f>
        <v>0</v>
      </c>
      <c r="I298" s="209"/>
      <c r="J298" s="209"/>
      <c r="K298" s="209"/>
      <c r="L298" s="209"/>
      <c r="M298" s="209"/>
      <c r="N298" s="209"/>
      <c r="O298" s="209"/>
      <c r="P298" s="209"/>
    </row>
    <row r="299" spans="1:16" ht="19.5" customHeight="1" x14ac:dyDescent="0.2">
      <c r="A299" s="74">
        <v>37</v>
      </c>
      <c r="B299" s="75" t="str">
        <f t="shared" si="14"/>
        <v>O.K.</v>
      </c>
      <c r="C299" s="257" t="s">
        <v>3331</v>
      </c>
      <c r="D299" s="73"/>
      <c r="E299" s="209">
        <f t="shared" si="15"/>
        <v>0</v>
      </c>
      <c r="F299" s="209">
        <f t="shared" si="16"/>
        <v>0</v>
      </c>
      <c r="G299" s="209">
        <f>IF(ROUND(BILANCA!D213,2)&lt;ROUND(BILANCA!D311,2),1,0)</f>
        <v>0</v>
      </c>
      <c r="H299" s="209">
        <f>IF(ROUND(BILANCA!E213,2)&lt;ROUND(BILANCA!E311,2),1,0)</f>
        <v>0</v>
      </c>
      <c r="I299" s="209"/>
      <c r="J299" s="209"/>
      <c r="K299" s="209"/>
      <c r="L299" s="209"/>
      <c r="M299" s="209"/>
      <c r="N299" s="209"/>
      <c r="O299" s="209"/>
      <c r="P299" s="209"/>
    </row>
    <row r="300" spans="1:16" ht="19.5" customHeight="1" x14ac:dyDescent="0.2">
      <c r="A300" s="74">
        <v>38</v>
      </c>
      <c r="B300" s="75" t="str">
        <f t="shared" si="14"/>
        <v>O.K.</v>
      </c>
      <c r="C300" s="257" t="s">
        <v>3332</v>
      </c>
      <c r="D300" s="73"/>
      <c r="E300" s="209">
        <f t="shared" si="15"/>
        <v>0</v>
      </c>
      <c r="F300" s="209">
        <f t="shared" si="16"/>
        <v>0</v>
      </c>
      <c r="G300" s="209">
        <f>IF(ROUND(BILANCA!D214,2)&lt;ROUND(SUM(BILANCA!D312:'BILANCA'!D313),2),1,0)</f>
        <v>0</v>
      </c>
      <c r="H300" s="209">
        <f>IF(ROUND(BILANCA!E214,2)&lt;ROUND(SUM(BILANCA!E312:'BILANCA'!E313),2),1,0)</f>
        <v>0</v>
      </c>
      <c r="I300" s="209"/>
      <c r="J300" s="209"/>
      <c r="K300" s="209"/>
      <c r="L300" s="209"/>
      <c r="M300" s="209"/>
      <c r="N300" s="209"/>
      <c r="O300" s="209"/>
      <c r="P300" s="209"/>
    </row>
    <row r="301" spans="1:16" ht="19.5" customHeight="1" x14ac:dyDescent="0.2">
      <c r="A301" s="74">
        <v>39</v>
      </c>
      <c r="B301" s="75" t="str">
        <f t="shared" si="14"/>
        <v>O.K.</v>
      </c>
      <c r="C301" s="257" t="s">
        <v>3333</v>
      </c>
      <c r="D301" s="73"/>
      <c r="E301" s="209">
        <f t="shared" si="15"/>
        <v>0</v>
      </c>
      <c r="F301" s="209">
        <f t="shared" si="16"/>
        <v>0</v>
      </c>
      <c r="G301" s="209">
        <f>IF(ROUND(BILANCA!D229,2)&lt;ROUND(SUM(BILANCA!D314:'BILANCA'!D315),2),1,0)</f>
        <v>0</v>
      </c>
      <c r="H301" s="209">
        <f>IF(ROUND(BILANCA!E229,2)&lt;ROUND(SUM(BILANCA!E314:'BILANCA'!E315),2),1,0)</f>
        <v>0</v>
      </c>
      <c r="I301" s="209"/>
      <c r="J301" s="209"/>
      <c r="K301" s="209"/>
      <c r="L301" s="209"/>
      <c r="M301" s="209"/>
      <c r="N301" s="209"/>
      <c r="O301" s="209"/>
      <c r="P301" s="209"/>
    </row>
    <row r="302" spans="1:16" ht="19.5" customHeight="1" x14ac:dyDescent="0.2">
      <c r="A302" s="74">
        <v>40</v>
      </c>
      <c r="B302" s="75" t="str">
        <f t="shared" si="14"/>
        <v>O.K.</v>
      </c>
      <c r="C302" s="257" t="s">
        <v>3334</v>
      </c>
      <c r="D302" s="73"/>
      <c r="E302" s="209">
        <f t="shared" si="15"/>
        <v>0</v>
      </c>
      <c r="F302" s="209">
        <f t="shared" si="16"/>
        <v>0</v>
      </c>
      <c r="G302" s="209">
        <f>IF(ROUND(BILANCA!D230,2)&lt;ROUND(BILANCA!D316,2),1,0)</f>
        <v>0</v>
      </c>
      <c r="H302" s="209">
        <f>IF(ROUND(BILANCA!E230,2)&lt;ROUND(BILANCA!E316,2),1,0)</f>
        <v>0</v>
      </c>
      <c r="I302" s="209"/>
      <c r="J302" s="209"/>
      <c r="K302" s="209"/>
      <c r="L302" s="209"/>
      <c r="M302" s="209"/>
      <c r="N302" s="209"/>
      <c r="O302" s="209"/>
      <c r="P302" s="209"/>
    </row>
    <row r="303" spans="1:16" ht="19.5" customHeight="1" x14ac:dyDescent="0.2">
      <c r="A303" s="74">
        <v>41</v>
      </c>
      <c r="B303" s="75" t="str">
        <f t="shared" si="14"/>
        <v>O.K.</v>
      </c>
      <c r="C303" s="257" t="s">
        <v>3335</v>
      </c>
      <c r="D303" s="73"/>
      <c r="E303" s="209">
        <f t="shared" si="15"/>
        <v>0</v>
      </c>
      <c r="F303" s="209">
        <f t="shared" si="16"/>
        <v>0</v>
      </c>
      <c r="G303" s="209">
        <f>IF(ROUND(BILANCA!D231,2)&lt;ROUND(SUM(BILANCA!D317:'BILANCA'!D318),2),1,0)</f>
        <v>0</v>
      </c>
      <c r="H303" s="209">
        <f>IF(ROUND(BILANCA!E231,2)&lt;ROUND(SUM(BILANCA!E317:'BILANCA'!E318),2),1,0)</f>
        <v>0</v>
      </c>
      <c r="I303" s="209"/>
      <c r="J303" s="209"/>
      <c r="K303" s="209"/>
      <c r="L303" s="209"/>
      <c r="M303" s="209"/>
      <c r="N303" s="209"/>
      <c r="O303" s="209"/>
      <c r="P303" s="209"/>
    </row>
    <row r="304" spans="1:16" ht="19.5" customHeight="1" x14ac:dyDescent="0.2">
      <c r="A304" s="74">
        <v>42</v>
      </c>
      <c r="B304" s="75" t="str">
        <f t="shared" si="14"/>
        <v>O.K.</v>
      </c>
      <c r="C304" s="257" t="s">
        <v>3336</v>
      </c>
      <c r="D304" s="73"/>
      <c r="E304" s="209">
        <f t="shared" si="15"/>
        <v>0</v>
      </c>
      <c r="F304" s="209">
        <f t="shared" si="16"/>
        <v>0</v>
      </c>
      <c r="G304" s="209">
        <f>IF(ROUND(BILANCA!D215,2)&lt;ROUND(BILANCA!D319,2),1,0)</f>
        <v>0</v>
      </c>
      <c r="H304" s="209">
        <f>IF(ROUND(BILANCA!E215,2)&lt;ROUND(BILANCA!E319,2),1,0)</f>
        <v>0</v>
      </c>
      <c r="I304" s="209"/>
      <c r="J304" s="209"/>
      <c r="K304" s="209"/>
      <c r="L304" s="209"/>
      <c r="M304" s="209"/>
      <c r="N304" s="209"/>
      <c r="O304" s="209"/>
      <c r="P304" s="209"/>
    </row>
    <row r="305" spans="1:16" ht="19.5" customHeight="1" x14ac:dyDescent="0.2">
      <c r="A305" s="74">
        <v>43</v>
      </c>
      <c r="B305" s="75" t="str">
        <f t="shared" si="14"/>
        <v>O.K.</v>
      </c>
      <c r="C305" s="257" t="s">
        <v>3337</v>
      </c>
      <c r="D305" s="73"/>
      <c r="E305" s="209">
        <f t="shared" si="15"/>
        <v>0</v>
      </c>
      <c r="F305" s="209">
        <f t="shared" si="16"/>
        <v>0</v>
      </c>
      <c r="G305" s="209">
        <f>IF(ROUND(BILANCA!D216,2)&lt;ROUND(BILANCA!D320,2),1,0)</f>
        <v>0</v>
      </c>
      <c r="H305" s="209">
        <f>IF(ROUND(BILANCA!E216,2)&lt;ROUND(BILANCA!E320,2),1,0)</f>
        <v>0</v>
      </c>
      <c r="I305" s="209"/>
      <c r="J305" s="209"/>
      <c r="K305" s="209"/>
      <c r="L305" s="209"/>
      <c r="M305" s="209"/>
      <c r="N305" s="209"/>
      <c r="O305" s="209"/>
      <c r="P305" s="209"/>
    </row>
    <row r="306" spans="1:16" ht="19.5" customHeight="1" x14ac:dyDescent="0.2">
      <c r="A306" s="74">
        <v>44</v>
      </c>
      <c r="B306" s="75" t="str">
        <f t="shared" si="14"/>
        <v>O.K.</v>
      </c>
      <c r="C306" s="257" t="s">
        <v>3338</v>
      </c>
      <c r="D306" s="73"/>
      <c r="E306" s="209">
        <f t="shared" si="15"/>
        <v>0</v>
      </c>
      <c r="F306" s="209">
        <f t="shared" si="16"/>
        <v>0</v>
      </c>
      <c r="G306" s="209">
        <f>IF(ROUND(BILANCA!D232,2)&lt;ROUND(BILANCA!D321,2),1,0)</f>
        <v>0</v>
      </c>
      <c r="H306" s="209">
        <f>IF(ROUND(BILANCA!E232,2)&lt;ROUND(BILANCA!E321,2),1,0)</f>
        <v>0</v>
      </c>
      <c r="I306" s="209"/>
      <c r="J306" s="209"/>
      <c r="K306" s="209"/>
      <c r="L306" s="209"/>
      <c r="M306" s="209"/>
      <c r="N306" s="209"/>
      <c r="O306" s="209"/>
      <c r="P306" s="209"/>
    </row>
    <row r="307" spans="1:16" ht="19.5" customHeight="1" x14ac:dyDescent="0.2">
      <c r="A307" s="74">
        <v>45</v>
      </c>
      <c r="B307" s="75" t="str">
        <f t="shared" si="14"/>
        <v>O.K.</v>
      </c>
      <c r="C307" s="257" t="s">
        <v>3339</v>
      </c>
      <c r="D307" s="73"/>
      <c r="E307" s="209">
        <f t="shared" si="15"/>
        <v>0</v>
      </c>
      <c r="F307" s="209">
        <f t="shared" si="16"/>
        <v>0</v>
      </c>
      <c r="G307" s="209">
        <f>IF(ROUND(BILANCA!D233,2)&lt;ROUND(BILANCA!D322,2),1,0)</f>
        <v>0</v>
      </c>
      <c r="H307" s="209">
        <f>IF(ROUND(BILANCA!E233,2)&lt;ROUND(BILANCA!E322,2),1,0)</f>
        <v>0</v>
      </c>
      <c r="I307" s="209"/>
      <c r="J307" s="209"/>
      <c r="K307" s="209"/>
      <c r="L307" s="209"/>
      <c r="M307" s="209"/>
      <c r="N307" s="209"/>
      <c r="O307" s="209"/>
      <c r="P307" s="209"/>
    </row>
    <row r="308" spans="1:16" ht="19.5" customHeight="1" x14ac:dyDescent="0.2">
      <c r="A308" s="74">
        <v>22</v>
      </c>
      <c r="B308" s="75" t="str">
        <f t="shared" si="14"/>
        <v>O.K.</v>
      </c>
      <c r="C308" s="163" t="s">
        <v>3340</v>
      </c>
      <c r="D308" s="73"/>
      <c r="E308" s="209">
        <f t="shared" si="15"/>
        <v>0</v>
      </c>
      <c r="F308" s="209">
        <f t="shared" si="16"/>
        <v>0</v>
      </c>
      <c r="G308" s="209">
        <f>IF(ABS(BILANCA!D177-BILANCA!D287-BILANCA!D288)&gt;0.001,1,0)</f>
        <v>0</v>
      </c>
      <c r="H308" s="209">
        <f>IF(ABS(BILANCA!E177-BILANCA!E287-BILANCA!E288)&gt;0.001,1,0)</f>
        <v>0</v>
      </c>
      <c r="I308" s="209"/>
      <c r="J308" s="209"/>
      <c r="K308" s="209"/>
      <c r="L308" s="209"/>
      <c r="M308" s="209"/>
      <c r="N308" s="209"/>
      <c r="O308" s="209"/>
      <c r="P308" s="209"/>
    </row>
    <row r="309" spans="1:16" ht="19.5" customHeight="1" x14ac:dyDescent="0.2">
      <c r="A309" s="74">
        <v>23</v>
      </c>
      <c r="B309" s="75" t="str">
        <f t="shared" si="14"/>
        <v>O.K.</v>
      </c>
      <c r="C309" s="163" t="s">
        <v>3341</v>
      </c>
      <c r="D309" s="73"/>
      <c r="E309" s="209">
        <f t="shared" si="15"/>
        <v>0</v>
      </c>
      <c r="F309" s="209">
        <f t="shared" si="16"/>
        <v>0</v>
      </c>
      <c r="G309" s="209">
        <f>IF(ABS(BILANCA!D189-BILANCA!D289-BILANCA!D290)&gt;0.001,1,0)</f>
        <v>0</v>
      </c>
      <c r="H309" s="209">
        <f>IF(ABS(BILANCA!E189-BILANCA!E289-BILANCA!E290)&gt;0.001,1,0)</f>
        <v>0</v>
      </c>
      <c r="I309" s="209"/>
      <c r="J309" s="209"/>
      <c r="K309" s="209"/>
      <c r="L309" s="209"/>
      <c r="M309" s="209"/>
      <c r="N309" s="209"/>
      <c r="O309" s="209"/>
      <c r="P309" s="209"/>
    </row>
    <row r="310" spans="1:16" ht="19.5" customHeight="1" x14ac:dyDescent="0.2">
      <c r="A310" s="74">
        <v>24</v>
      </c>
      <c r="B310" s="75" t="str">
        <f t="shared" si="14"/>
        <v>O.K.</v>
      </c>
      <c r="C310" s="163" t="s">
        <v>3342</v>
      </c>
      <c r="D310" s="73"/>
      <c r="E310" s="209">
        <f t="shared" si="15"/>
        <v>0</v>
      </c>
      <c r="F310" s="209">
        <f t="shared" si="16"/>
        <v>0</v>
      </c>
      <c r="G310" s="209">
        <f>IF(ABS(BILANCA!D190-BILANCA!D291-BILANCA!D292)&gt;0.001,1,0)</f>
        <v>0</v>
      </c>
      <c r="H310" s="209">
        <f>IF(ABS(BILANCA!E190-BILANCA!E291-BILANCA!E292)&gt;0.001,1,0)</f>
        <v>0</v>
      </c>
      <c r="I310" s="209"/>
      <c r="J310" s="209"/>
      <c r="K310" s="209"/>
      <c r="L310" s="209"/>
      <c r="M310" s="209"/>
      <c r="N310" s="209"/>
      <c r="O310" s="209"/>
      <c r="P310" s="209"/>
    </row>
    <row r="311" spans="1:16" ht="19.5" customHeight="1" x14ac:dyDescent="0.2">
      <c r="A311" s="74">
        <v>25</v>
      </c>
      <c r="B311" s="75" t="str">
        <f t="shared" si="14"/>
        <v>O.K.</v>
      </c>
      <c r="C311" s="163" t="s">
        <v>3343</v>
      </c>
      <c r="D311" s="73"/>
      <c r="E311" s="209">
        <f t="shared" si="15"/>
        <v>0</v>
      </c>
      <c r="F311" s="209">
        <f t="shared" si="16"/>
        <v>0</v>
      </c>
      <c r="G311" s="209">
        <f>IF(ABS(BILANCA!D206-BILANCA!D293-BILANCA!D294)&gt;0.001,1,0)</f>
        <v>0</v>
      </c>
      <c r="H311" s="209">
        <f>IF(ABS(BILANCA!E206-BILANCA!E293-BILANCA!E294)&gt;0.001,1,0)</f>
        <v>0</v>
      </c>
      <c r="I311" s="209"/>
      <c r="J311" s="209"/>
      <c r="K311" s="209"/>
      <c r="L311" s="209"/>
      <c r="M311" s="209"/>
      <c r="N311" s="209"/>
      <c r="O311" s="209"/>
      <c r="P311" s="209"/>
    </row>
    <row r="312" spans="1:16" ht="19.5" customHeight="1" x14ac:dyDescent="0.2">
      <c r="A312" s="341" t="s">
        <v>37</v>
      </c>
      <c r="B312" s="342"/>
      <c r="C312" s="343"/>
      <c r="D312" s="73"/>
      <c r="E312" s="209">
        <f>SUM(E313:E314)</f>
        <v>0</v>
      </c>
      <c r="F312" s="209">
        <f>SUM(F313:F314)</f>
        <v>0</v>
      </c>
      <c r="G312" s="209"/>
      <c r="H312" s="209"/>
      <c r="I312" s="209"/>
      <c r="J312" s="209"/>
      <c r="K312" s="209"/>
      <c r="L312" s="209"/>
      <c r="M312" s="209"/>
      <c r="N312" s="209"/>
      <c r="O312" s="209"/>
      <c r="P312" s="209"/>
    </row>
    <row r="313" spans="1:16" ht="30" customHeight="1" x14ac:dyDescent="0.2">
      <c r="A313" s="74">
        <v>1</v>
      </c>
      <c r="B313" s="75" t="str">
        <f>IF(E313=1,"Pogreška",IF(F313=1,"Provjera","O.K."))</f>
        <v>O.K.</v>
      </c>
      <c r="C313" s="163" t="s">
        <v>3309</v>
      </c>
      <c r="D313" s="73"/>
      <c r="E313" s="209">
        <f>MAX(G313:K313)</f>
        <v>0</v>
      </c>
      <c r="F313" s="209">
        <f>MAX(L313:O313)</f>
        <v>0</v>
      </c>
      <c r="G313" s="209">
        <f>IF(MIN(OBVEZE!D5:D105)&lt;-0.001,1,0)</f>
        <v>0</v>
      </c>
      <c r="H313" s="209"/>
      <c r="I313" s="209"/>
      <c r="J313" s="209"/>
      <c r="K313" s="209"/>
      <c r="L313" s="209"/>
      <c r="M313" s="209"/>
      <c r="N313" s="209"/>
      <c r="O313" s="209"/>
      <c r="P313" s="209"/>
    </row>
    <row r="314" spans="1:16" ht="42" customHeight="1" x14ac:dyDescent="0.2">
      <c r="A314" s="74">
        <v>2</v>
      </c>
      <c r="B314" s="75" t="str">
        <f>IF(E314=1,"Pogreška",IF(F314=1,"Provjera","O.K."))</f>
        <v>O.K.</v>
      </c>
      <c r="C314" s="163" t="s">
        <v>3344</v>
      </c>
      <c r="D314" s="73"/>
      <c r="E314" s="209">
        <f>MAX(G314:K314)</f>
        <v>0</v>
      </c>
      <c r="F314" s="209">
        <f>MAX(L314:O314)</f>
        <v>0</v>
      </c>
      <c r="G314" s="209">
        <f>IF(ROUND(OBVEZE!D42,2)&lt;&gt;ROUND(OBVEZE!D43+OBVEZE!D101,2),1,0)</f>
        <v>0</v>
      </c>
      <c r="H314" s="209"/>
      <c r="I314" s="209"/>
      <c r="J314" s="209"/>
      <c r="K314" s="209"/>
      <c r="L314" s="209"/>
      <c r="M314" s="209"/>
      <c r="N314" s="209"/>
      <c r="O314" s="209"/>
      <c r="P314" s="209"/>
    </row>
    <row r="315" spans="1:16" ht="19.5" customHeight="1" x14ac:dyDescent="0.2">
      <c r="A315" s="341" t="s">
        <v>36</v>
      </c>
      <c r="B315" s="342"/>
      <c r="C315" s="343"/>
      <c r="D315" s="73"/>
      <c r="E315" s="209">
        <f>SUM(E316:E316)</f>
        <v>0</v>
      </c>
      <c r="F315" s="209">
        <f>SUM(F316:F316)</f>
        <v>0</v>
      </c>
      <c r="G315" s="209"/>
      <c r="H315" s="209"/>
      <c r="I315" s="209"/>
      <c r="J315" s="209"/>
      <c r="K315" s="209"/>
      <c r="L315" s="209"/>
      <c r="M315" s="209"/>
      <c r="N315" s="209"/>
      <c r="O315" s="209"/>
      <c r="P315" s="209"/>
    </row>
    <row r="316" spans="1:16" ht="30" customHeight="1" x14ac:dyDescent="0.2">
      <c r="A316" s="74">
        <v>1</v>
      </c>
      <c r="B316" s="75" t="str">
        <f>IF(E316=1,"Pogreška",IF(F316=1,"Provjera","O.K."))</f>
        <v>O.K.</v>
      </c>
      <c r="C316" s="163" t="s">
        <v>3309</v>
      </c>
      <c r="D316" s="73"/>
      <c r="E316" s="209">
        <f>MAX(G316:K316)</f>
        <v>0</v>
      </c>
      <c r="F316" s="209">
        <f>MAX(L316:O316)</f>
        <v>0</v>
      </c>
      <c r="G316" s="209">
        <f>IF(MIN('P-VRIO'!D5:E48)&lt;-0.001,1,0)</f>
        <v>0</v>
      </c>
      <c r="H316" s="209"/>
      <c r="I316" s="209"/>
      <c r="J316" s="209"/>
      <c r="K316" s="209"/>
      <c r="L316" s="209"/>
      <c r="M316" s="209"/>
      <c r="N316" s="209"/>
      <c r="O316" s="209"/>
      <c r="P316" s="209"/>
    </row>
    <row r="317" spans="1:16" ht="19.5" customHeight="1" x14ac:dyDescent="0.2">
      <c r="A317" s="341" t="s">
        <v>3345</v>
      </c>
      <c r="B317" s="342"/>
      <c r="C317" s="343"/>
      <c r="D317" s="73"/>
      <c r="E317" s="209">
        <f>SUM(E318)</f>
        <v>0</v>
      </c>
      <c r="F317" s="209">
        <f>SUM(F318)</f>
        <v>0</v>
      </c>
      <c r="G317" s="209"/>
      <c r="H317" s="209"/>
      <c r="I317" s="209"/>
      <c r="J317" s="209"/>
      <c r="K317" s="209"/>
      <c r="L317" s="209"/>
      <c r="M317" s="209"/>
      <c r="N317" s="209"/>
      <c r="O317" s="209"/>
      <c r="P317" s="209"/>
    </row>
    <row r="318" spans="1:16" ht="30" customHeight="1" x14ac:dyDescent="0.2">
      <c r="A318" s="76">
        <v>1</v>
      </c>
      <c r="B318" s="77" t="str">
        <f>IF(E318=1,"Pogreška",IF(F318=1,"Provjera","O.K."))</f>
        <v>O.K.</v>
      </c>
      <c r="C318" s="258" t="s">
        <v>3309</v>
      </c>
      <c r="D318" s="73"/>
      <c r="E318" s="209">
        <f>MAX(G318:K318)</f>
        <v>0</v>
      </c>
      <c r="F318" s="209">
        <f>MAX(L318:O318)</f>
        <v>0</v>
      </c>
      <c r="G318" s="209">
        <f>IF(MIN('RAS-funkcijski'!D5:E141)&lt;-0.001,1,0)</f>
        <v>0</v>
      </c>
      <c r="H318" s="209"/>
      <c r="I318" s="209"/>
      <c r="J318" s="209"/>
      <c r="K318" s="209"/>
      <c r="L318" s="209"/>
      <c r="M318" s="209"/>
      <c r="N318" s="209"/>
      <c r="O318" s="209"/>
      <c r="P318" s="209"/>
    </row>
    <row r="319" spans="1:16" ht="12.75" customHeight="1" x14ac:dyDescent="0.2">
      <c r="A319" s="255"/>
      <c r="B319" s="259"/>
      <c r="C319" s="260"/>
      <c r="D319" s="73"/>
      <c r="E319" s="209"/>
      <c r="F319" s="209"/>
      <c r="G319" s="209"/>
      <c r="H319" s="209"/>
      <c r="I319" s="209"/>
      <c r="J319" s="209"/>
      <c r="K319" s="209"/>
      <c r="L319" s="209"/>
      <c r="M319" s="209"/>
      <c r="N319" s="209"/>
      <c r="O319" s="209"/>
      <c r="P319" s="209"/>
    </row>
    <row r="320" spans="1:16" ht="12.75" customHeight="1" x14ac:dyDescent="0.2">
      <c r="A320" s="255"/>
      <c r="B320" s="259"/>
      <c r="C320" s="260"/>
      <c r="D320" s="73"/>
      <c r="E320" s="209"/>
      <c r="F320" s="209"/>
      <c r="G320" s="209"/>
      <c r="H320" s="209"/>
      <c r="I320" s="209"/>
      <c r="J320" s="209"/>
      <c r="K320" s="209"/>
      <c r="L320" s="209"/>
      <c r="M320" s="209"/>
      <c r="N320" s="209"/>
      <c r="O320" s="209"/>
      <c r="P320" s="209"/>
    </row>
    <row r="321" spans="1:16" ht="11.25" customHeight="1" x14ac:dyDescent="0.2">
      <c r="A321" s="255"/>
      <c r="B321" s="259"/>
      <c r="C321" s="260"/>
      <c r="D321" s="73"/>
      <c r="E321" s="209"/>
      <c r="F321" s="209"/>
      <c r="G321" s="209"/>
      <c r="H321" s="209"/>
      <c r="I321" s="209"/>
      <c r="J321" s="209"/>
      <c r="K321" s="209"/>
      <c r="L321" s="209"/>
      <c r="M321" s="209"/>
      <c r="N321" s="209"/>
      <c r="O321" s="209"/>
      <c r="P321" s="209"/>
    </row>
    <row r="322" spans="1:16" ht="11.25" customHeight="1" x14ac:dyDescent="0.2">
      <c r="A322" s="255"/>
      <c r="B322" s="259"/>
      <c r="C322" s="260"/>
      <c r="D322" s="73"/>
      <c r="E322" s="209"/>
      <c r="F322" s="209"/>
      <c r="G322" s="209"/>
      <c r="H322" s="209"/>
      <c r="I322" s="209"/>
      <c r="J322" s="209"/>
      <c r="K322" s="209"/>
      <c r="L322" s="209"/>
      <c r="M322" s="209"/>
      <c r="N322" s="209"/>
      <c r="O322" s="209"/>
      <c r="P322" s="209"/>
    </row>
    <row r="323" spans="1:16" ht="11.25" customHeight="1" x14ac:dyDescent="0.2">
      <c r="A323" s="255"/>
      <c r="B323" s="259"/>
      <c r="C323" s="260"/>
      <c r="D323" s="73"/>
      <c r="E323" s="209"/>
      <c r="F323" s="209"/>
      <c r="G323" s="209"/>
      <c r="H323" s="209"/>
      <c r="I323" s="209"/>
      <c r="J323" s="209"/>
      <c r="K323" s="209"/>
      <c r="L323" s="209"/>
      <c r="M323" s="209"/>
      <c r="N323" s="209"/>
      <c r="O323" s="209"/>
      <c r="P323" s="209"/>
    </row>
    <row r="324" spans="1:16" ht="11.25" customHeight="1" x14ac:dyDescent="0.2">
      <c r="A324" s="255"/>
      <c r="B324" s="259"/>
      <c r="C324" s="260"/>
      <c r="D324" s="73"/>
      <c r="E324" s="209"/>
      <c r="F324" s="209"/>
      <c r="G324" s="209"/>
      <c r="H324" s="209"/>
      <c r="I324" s="209"/>
      <c r="J324" s="209"/>
      <c r="K324" s="209"/>
      <c r="L324" s="209"/>
      <c r="M324" s="209"/>
      <c r="N324" s="209"/>
      <c r="O324" s="209"/>
      <c r="P324" s="209"/>
    </row>
    <row r="325" spans="1:16" ht="11.25" customHeight="1" x14ac:dyDescent="0.2">
      <c r="A325" s="255"/>
      <c r="B325" s="259"/>
      <c r="C325" s="260"/>
      <c r="D325" s="73"/>
      <c r="E325" s="209"/>
      <c r="F325" s="209"/>
      <c r="G325" s="209"/>
      <c r="H325" s="209"/>
      <c r="I325" s="209"/>
      <c r="J325" s="209"/>
      <c r="K325" s="209"/>
      <c r="L325" s="209"/>
      <c r="M325" s="209"/>
      <c r="N325" s="209"/>
      <c r="O325" s="209"/>
      <c r="P325" s="209"/>
    </row>
    <row r="326" spans="1:16" ht="11.25" customHeight="1" x14ac:dyDescent="0.2">
      <c r="A326" s="255"/>
      <c r="B326" s="259"/>
      <c r="C326" s="260"/>
      <c r="D326" s="73"/>
      <c r="E326" s="209"/>
      <c r="F326" s="209"/>
      <c r="G326" s="209"/>
      <c r="H326" s="209"/>
      <c r="I326" s="209"/>
      <c r="J326" s="209"/>
      <c r="K326" s="209"/>
      <c r="L326" s="209"/>
      <c r="M326" s="209"/>
      <c r="N326" s="209"/>
      <c r="O326" s="209"/>
      <c r="P326" s="209"/>
    </row>
    <row r="327" spans="1:16" ht="11.25" customHeight="1" x14ac:dyDescent="0.2">
      <c r="A327" s="255"/>
      <c r="B327" s="259"/>
      <c r="C327" s="260"/>
      <c r="D327" s="73"/>
      <c r="E327" s="209"/>
      <c r="F327" s="209"/>
      <c r="G327" s="209"/>
      <c r="H327" s="209"/>
      <c r="I327" s="209"/>
      <c r="J327" s="209"/>
      <c r="K327" s="209"/>
      <c r="L327" s="209"/>
      <c r="M327" s="209"/>
      <c r="N327" s="209"/>
      <c r="O327" s="209"/>
      <c r="P327" s="209"/>
    </row>
    <row r="328" spans="1:16" ht="11.25" customHeight="1" x14ac:dyDescent="0.2">
      <c r="A328" s="255"/>
      <c r="B328" s="259"/>
      <c r="C328" s="260"/>
      <c r="D328" s="73"/>
      <c r="E328" s="209"/>
      <c r="F328" s="209"/>
      <c r="G328" s="209"/>
      <c r="H328" s="209"/>
      <c r="I328" s="209"/>
      <c r="J328" s="209"/>
      <c r="K328" s="209"/>
      <c r="L328" s="209"/>
      <c r="M328" s="209"/>
      <c r="N328" s="209"/>
      <c r="O328" s="209"/>
      <c r="P328" s="209"/>
    </row>
    <row r="329" spans="1:16" ht="11.25" customHeight="1" x14ac:dyDescent="0.2">
      <c r="A329" s="255"/>
      <c r="B329" s="259"/>
      <c r="C329" s="260"/>
      <c r="D329" s="73"/>
      <c r="E329" s="209"/>
      <c r="F329" s="209"/>
      <c r="G329" s="209"/>
      <c r="H329" s="209"/>
      <c r="I329" s="209"/>
      <c r="J329" s="209"/>
      <c r="K329" s="209"/>
      <c r="L329" s="209"/>
      <c r="M329" s="209"/>
      <c r="N329" s="209"/>
      <c r="O329" s="209"/>
      <c r="P329" s="209"/>
    </row>
    <row r="330" spans="1:16" ht="11.25" customHeight="1" x14ac:dyDescent="0.2">
      <c r="A330" s="255"/>
      <c r="B330" s="259"/>
      <c r="C330" s="260"/>
      <c r="D330" s="73"/>
      <c r="E330" s="209"/>
      <c r="F330" s="209"/>
      <c r="G330" s="209"/>
      <c r="H330" s="209"/>
      <c r="I330" s="209"/>
      <c r="J330" s="209"/>
      <c r="K330" s="209"/>
      <c r="L330" s="209"/>
      <c r="M330" s="209"/>
      <c r="N330" s="209"/>
      <c r="O330" s="209"/>
      <c r="P330" s="209"/>
    </row>
    <row r="331" spans="1:16" ht="11.25" customHeight="1" x14ac:dyDescent="0.2">
      <c r="A331" s="255"/>
      <c r="B331" s="259"/>
      <c r="C331" s="260"/>
      <c r="D331" s="73"/>
      <c r="E331" s="209"/>
      <c r="F331" s="209"/>
      <c r="G331" s="209"/>
      <c r="H331" s="209"/>
      <c r="I331" s="209"/>
      <c r="J331" s="209"/>
      <c r="K331" s="209"/>
      <c r="L331" s="209"/>
      <c r="M331" s="209"/>
      <c r="N331" s="209"/>
      <c r="O331" s="209"/>
      <c r="P331" s="209"/>
    </row>
    <row r="332" spans="1:16" ht="11.25" customHeight="1" x14ac:dyDescent="0.2">
      <c r="A332" s="255"/>
      <c r="B332" s="259"/>
      <c r="C332" s="260"/>
      <c r="D332" s="73"/>
      <c r="E332" s="209"/>
      <c r="F332" s="209"/>
      <c r="G332" s="209"/>
      <c r="H332" s="209"/>
      <c r="I332" s="209"/>
      <c r="J332" s="209"/>
      <c r="K332" s="209"/>
      <c r="L332" s="209"/>
      <c r="M332" s="209"/>
      <c r="N332" s="209"/>
      <c r="O332" s="209"/>
      <c r="P332" s="209"/>
    </row>
    <row r="333" spans="1:16" ht="11.25" customHeight="1" x14ac:dyDescent="0.2">
      <c r="A333" s="255"/>
      <c r="B333" s="259"/>
      <c r="C333" s="260"/>
      <c r="D333" s="73"/>
      <c r="E333" s="209"/>
      <c r="F333" s="209"/>
      <c r="G333" s="209"/>
      <c r="H333" s="209"/>
      <c r="I333" s="209"/>
      <c r="J333" s="209"/>
      <c r="K333" s="209"/>
      <c r="L333" s="209"/>
      <c r="M333" s="209"/>
      <c r="N333" s="209"/>
      <c r="O333" s="209"/>
      <c r="P333" s="209"/>
    </row>
    <row r="334" spans="1:16" ht="11.25" customHeight="1" x14ac:dyDescent="0.2">
      <c r="A334" s="255"/>
      <c r="B334" s="259"/>
      <c r="C334" s="260"/>
      <c r="D334" s="73"/>
      <c r="E334" s="209"/>
      <c r="F334" s="209"/>
      <c r="G334" s="209"/>
      <c r="H334" s="209"/>
      <c r="I334" s="209"/>
      <c r="J334" s="209"/>
      <c r="K334" s="209"/>
      <c r="L334" s="209"/>
      <c r="M334" s="209"/>
      <c r="N334" s="209"/>
      <c r="O334" s="209"/>
      <c r="P334" s="209"/>
    </row>
    <row r="335" spans="1:16" ht="11.25" customHeight="1" x14ac:dyDescent="0.2">
      <c r="A335" s="255"/>
      <c r="B335" s="259"/>
      <c r="C335" s="260"/>
      <c r="D335" s="73"/>
      <c r="E335" s="209"/>
      <c r="F335" s="209"/>
      <c r="G335" s="209"/>
      <c r="H335" s="209"/>
      <c r="I335" s="209"/>
      <c r="J335" s="209"/>
      <c r="K335" s="209"/>
      <c r="L335" s="209"/>
      <c r="M335" s="209"/>
      <c r="N335" s="209"/>
      <c r="O335" s="209"/>
      <c r="P335" s="209"/>
    </row>
    <row r="336" spans="1:16" ht="11.25" customHeight="1" x14ac:dyDescent="0.2">
      <c r="A336" s="255"/>
      <c r="B336" s="259"/>
      <c r="C336" s="260"/>
      <c r="D336" s="73"/>
      <c r="E336" s="209"/>
      <c r="F336" s="209"/>
      <c r="G336" s="209"/>
      <c r="H336" s="209"/>
      <c r="I336" s="209"/>
      <c r="J336" s="209"/>
      <c r="K336" s="209"/>
      <c r="L336" s="209"/>
      <c r="M336" s="209"/>
      <c r="N336" s="209"/>
      <c r="O336" s="209"/>
      <c r="P336" s="209"/>
    </row>
    <row r="337" spans="1:16" ht="11.25" customHeight="1" x14ac:dyDescent="0.2">
      <c r="A337" s="255"/>
      <c r="B337" s="259"/>
      <c r="C337" s="260"/>
      <c r="D337" s="73"/>
      <c r="E337" s="209"/>
      <c r="F337" s="209"/>
      <c r="G337" s="209"/>
      <c r="H337" s="209"/>
      <c r="I337" s="209"/>
      <c r="J337" s="209"/>
      <c r="K337" s="209"/>
      <c r="L337" s="209"/>
      <c r="M337" s="209"/>
      <c r="N337" s="209"/>
      <c r="O337" s="209"/>
      <c r="P337" s="209"/>
    </row>
    <row r="338" spans="1:16" ht="11.25" customHeight="1" x14ac:dyDescent="0.2">
      <c r="A338" s="255"/>
      <c r="B338" s="259"/>
      <c r="C338" s="260"/>
      <c r="D338" s="73"/>
      <c r="E338" s="209"/>
      <c r="F338" s="209"/>
      <c r="G338" s="209"/>
      <c r="H338" s="209"/>
      <c r="I338" s="209"/>
      <c r="J338" s="209"/>
      <c r="K338" s="209"/>
      <c r="L338" s="209"/>
      <c r="M338" s="209"/>
      <c r="N338" s="209"/>
      <c r="O338" s="209"/>
      <c r="P338" s="209"/>
    </row>
    <row r="339" spans="1:16" ht="11.25" customHeight="1" x14ac:dyDescent="0.2">
      <c r="A339" s="255"/>
      <c r="B339" s="259"/>
      <c r="C339" s="260"/>
      <c r="D339" s="73"/>
      <c r="E339" s="209"/>
      <c r="F339" s="209"/>
      <c r="G339" s="209"/>
      <c r="H339" s="209"/>
      <c r="I339" s="209"/>
      <c r="J339" s="209"/>
      <c r="K339" s="209"/>
      <c r="L339" s="209"/>
      <c r="M339" s="209"/>
      <c r="N339" s="209"/>
      <c r="O339" s="209"/>
      <c r="P339" s="209"/>
    </row>
    <row r="340" spans="1:16" ht="11.25" customHeight="1" x14ac:dyDescent="0.2">
      <c r="A340" s="255"/>
      <c r="B340" s="259"/>
      <c r="C340" s="260"/>
      <c r="D340" s="73"/>
      <c r="E340" s="209"/>
      <c r="F340" s="209"/>
      <c r="G340" s="209"/>
      <c r="H340" s="209"/>
      <c r="I340" s="209"/>
      <c r="J340" s="209"/>
      <c r="K340" s="209"/>
      <c r="L340" s="209"/>
      <c r="M340" s="209"/>
      <c r="N340" s="209"/>
      <c r="O340" s="209"/>
      <c r="P340" s="209"/>
    </row>
    <row r="341" spans="1:16" ht="11.25" customHeight="1" x14ac:dyDescent="0.2">
      <c r="A341" s="255"/>
      <c r="B341" s="259"/>
      <c r="C341" s="260"/>
      <c r="D341" s="73"/>
      <c r="E341" s="209"/>
      <c r="F341" s="209"/>
      <c r="G341" s="209"/>
      <c r="H341" s="209"/>
      <c r="I341" s="209"/>
      <c r="J341" s="209"/>
      <c r="K341" s="209"/>
      <c r="L341" s="209"/>
      <c r="M341" s="209"/>
      <c r="N341" s="209"/>
      <c r="O341" s="209"/>
      <c r="P341" s="209"/>
    </row>
    <row r="342" spans="1:16" ht="11.25" customHeight="1" x14ac:dyDescent="0.2">
      <c r="A342" s="255"/>
      <c r="B342" s="259"/>
      <c r="C342" s="260"/>
      <c r="D342" s="73"/>
      <c r="E342" s="209"/>
      <c r="F342" s="209"/>
      <c r="G342" s="209"/>
      <c r="H342" s="209"/>
      <c r="I342" s="209"/>
      <c r="J342" s="209"/>
      <c r="K342" s="209"/>
      <c r="L342" s="209"/>
      <c r="M342" s="209"/>
      <c r="N342" s="209"/>
      <c r="O342" s="209"/>
      <c r="P342" s="209"/>
    </row>
    <row r="343" spans="1:16" ht="11.25" customHeight="1" x14ac:dyDescent="0.2">
      <c r="A343" s="255"/>
      <c r="B343" s="259"/>
      <c r="C343" s="260"/>
      <c r="D343" s="73"/>
      <c r="E343" s="209"/>
      <c r="F343" s="209"/>
      <c r="G343" s="209"/>
      <c r="H343" s="209"/>
      <c r="I343" s="209"/>
      <c r="J343" s="209"/>
      <c r="K343" s="209"/>
      <c r="L343" s="209"/>
      <c r="M343" s="209"/>
      <c r="N343" s="209"/>
      <c r="O343" s="209"/>
      <c r="P343" s="209"/>
    </row>
    <row r="344" spans="1:16" ht="11.25" customHeight="1" x14ac:dyDescent="0.2">
      <c r="A344" s="255"/>
      <c r="B344" s="259"/>
      <c r="C344" s="260"/>
      <c r="D344" s="73"/>
      <c r="E344" s="209"/>
      <c r="F344" s="209"/>
      <c r="G344" s="209"/>
      <c r="H344" s="209"/>
      <c r="I344" s="209"/>
      <c r="J344" s="209"/>
      <c r="K344" s="209"/>
      <c r="L344" s="209"/>
      <c r="M344" s="209"/>
      <c r="N344" s="209"/>
      <c r="O344" s="209"/>
      <c r="P344" s="209"/>
    </row>
    <row r="345" spans="1:16" ht="11.25" customHeight="1" x14ac:dyDescent="0.2">
      <c r="A345" s="255"/>
      <c r="B345" s="259"/>
      <c r="C345" s="260"/>
      <c r="D345" s="73"/>
      <c r="E345" s="209"/>
      <c r="F345" s="209"/>
      <c r="G345" s="209"/>
      <c r="H345" s="209"/>
      <c r="I345" s="209"/>
      <c r="J345" s="209"/>
      <c r="K345" s="209"/>
      <c r="L345" s="209"/>
      <c r="M345" s="209"/>
      <c r="N345" s="209"/>
      <c r="O345" s="209"/>
      <c r="P345" s="209"/>
    </row>
    <row r="346" spans="1:16" ht="11.25" customHeight="1" x14ac:dyDescent="0.2">
      <c r="A346" s="255"/>
      <c r="B346" s="259"/>
      <c r="C346" s="260"/>
      <c r="D346" s="73"/>
      <c r="E346" s="209"/>
      <c r="F346" s="209"/>
      <c r="G346" s="209"/>
      <c r="H346" s="209"/>
      <c r="I346" s="209"/>
      <c r="J346" s="209"/>
      <c r="K346" s="209"/>
      <c r="L346" s="209"/>
      <c r="M346" s="209"/>
      <c r="N346" s="209"/>
      <c r="O346" s="209"/>
      <c r="P346" s="209"/>
    </row>
    <row r="347" spans="1:16" ht="11.25" customHeight="1" x14ac:dyDescent="0.2">
      <c r="A347" s="255"/>
      <c r="B347" s="259"/>
      <c r="C347" s="260"/>
      <c r="D347" s="73"/>
      <c r="E347" s="209"/>
      <c r="F347" s="209"/>
      <c r="G347" s="209"/>
      <c r="H347" s="209"/>
      <c r="I347" s="209"/>
      <c r="J347" s="209"/>
      <c r="K347" s="209"/>
      <c r="L347" s="209"/>
      <c r="M347" s="209"/>
      <c r="N347" s="209"/>
      <c r="O347" s="209"/>
      <c r="P347" s="209"/>
    </row>
    <row r="348" spans="1:16" ht="11.25" customHeight="1" x14ac:dyDescent="0.2">
      <c r="A348" s="255"/>
      <c r="B348" s="259"/>
      <c r="C348" s="260"/>
      <c r="D348" s="73"/>
      <c r="E348" s="209"/>
      <c r="F348" s="209"/>
      <c r="G348" s="209"/>
      <c r="H348" s="209"/>
      <c r="I348" s="209"/>
      <c r="J348" s="209"/>
      <c r="K348" s="209"/>
      <c r="L348" s="209"/>
      <c r="M348" s="209"/>
      <c r="N348" s="209"/>
      <c r="O348" s="209"/>
      <c r="P348" s="209"/>
    </row>
    <row r="349" spans="1:16" ht="11.25" customHeight="1" x14ac:dyDescent="0.2">
      <c r="A349" s="255"/>
      <c r="B349" s="259"/>
      <c r="C349" s="260"/>
      <c r="D349" s="73"/>
      <c r="E349" s="209"/>
      <c r="F349" s="209"/>
      <c r="G349" s="209"/>
      <c r="H349" s="209"/>
      <c r="I349" s="209"/>
      <c r="J349" s="209"/>
      <c r="K349" s="209"/>
      <c r="L349" s="209"/>
      <c r="M349" s="209"/>
      <c r="N349" s="209"/>
      <c r="O349" s="209"/>
      <c r="P349" s="209"/>
    </row>
    <row r="350" spans="1:16" ht="11.25" customHeight="1" x14ac:dyDescent="0.2">
      <c r="A350" s="255"/>
      <c r="B350" s="259"/>
      <c r="C350" s="260"/>
      <c r="D350" s="73"/>
      <c r="E350" s="209"/>
      <c r="F350" s="209"/>
      <c r="G350" s="209"/>
      <c r="H350" s="209"/>
      <c r="I350" s="209"/>
      <c r="J350" s="209"/>
      <c r="K350" s="209"/>
      <c r="L350" s="209"/>
      <c r="M350" s="209"/>
      <c r="N350" s="209"/>
      <c r="O350" s="209"/>
      <c r="P350" s="209"/>
    </row>
    <row r="351" spans="1:16" ht="11.25" customHeight="1" x14ac:dyDescent="0.2">
      <c r="A351" s="255"/>
      <c r="B351" s="259"/>
      <c r="C351" s="260"/>
      <c r="D351" s="73"/>
      <c r="E351" s="209"/>
      <c r="F351" s="209"/>
      <c r="G351" s="209"/>
      <c r="H351" s="209"/>
      <c r="I351" s="209"/>
      <c r="J351" s="209"/>
      <c r="K351" s="209"/>
      <c r="L351" s="209"/>
      <c r="M351" s="209"/>
      <c r="N351" s="209"/>
      <c r="O351" s="209"/>
      <c r="P351" s="209"/>
    </row>
    <row r="352" spans="1:16" ht="11.25" customHeight="1" x14ac:dyDescent="0.2">
      <c r="A352" s="255"/>
      <c r="B352" s="259"/>
      <c r="C352" s="260"/>
      <c r="D352" s="73"/>
      <c r="E352" s="209"/>
      <c r="F352" s="209"/>
      <c r="G352" s="209"/>
      <c r="H352" s="209"/>
      <c r="I352" s="209"/>
      <c r="J352" s="209"/>
      <c r="K352" s="209"/>
      <c r="L352" s="209"/>
      <c r="M352" s="209"/>
      <c r="N352" s="209"/>
      <c r="O352" s="209"/>
      <c r="P352" s="209"/>
    </row>
    <row r="353" spans="1:16" ht="11.25" customHeight="1" x14ac:dyDescent="0.2">
      <c r="A353" s="255"/>
      <c r="B353" s="259"/>
      <c r="C353" s="260"/>
      <c r="D353" s="73"/>
      <c r="E353" s="209"/>
      <c r="F353" s="209"/>
      <c r="G353" s="209"/>
      <c r="H353" s="209"/>
      <c r="I353" s="209"/>
      <c r="J353" s="209"/>
      <c r="K353" s="209"/>
      <c r="L353" s="209"/>
      <c r="M353" s="209"/>
      <c r="N353" s="209"/>
      <c r="O353" s="209"/>
      <c r="P353" s="209"/>
    </row>
    <row r="354" spans="1:16" ht="11.25" customHeight="1" x14ac:dyDescent="0.2">
      <c r="A354" s="255"/>
      <c r="B354" s="259"/>
      <c r="C354" s="260"/>
      <c r="D354" s="73"/>
      <c r="E354" s="209"/>
      <c r="F354" s="209"/>
      <c r="G354" s="209"/>
      <c r="H354" s="209"/>
      <c r="I354" s="209"/>
      <c r="J354" s="209"/>
      <c r="K354" s="209"/>
      <c r="L354" s="209"/>
      <c r="M354" s="209"/>
      <c r="N354" s="209"/>
      <c r="O354" s="209"/>
      <c r="P354" s="209"/>
    </row>
    <row r="355" spans="1:16" ht="11.25" customHeight="1" x14ac:dyDescent="0.2">
      <c r="A355" s="255"/>
      <c r="B355" s="259"/>
      <c r="C355" s="260"/>
      <c r="D355" s="73"/>
      <c r="E355" s="209"/>
      <c r="F355" s="209"/>
      <c r="G355" s="209"/>
      <c r="H355" s="209"/>
      <c r="I355" s="209"/>
      <c r="J355" s="209"/>
      <c r="K355" s="209"/>
      <c r="L355" s="209"/>
      <c r="M355" s="209"/>
      <c r="N355" s="209"/>
      <c r="O355" s="209"/>
      <c r="P355" s="209"/>
    </row>
    <row r="356" spans="1:16" ht="11.25" customHeight="1" x14ac:dyDescent="0.2">
      <c r="A356" s="255"/>
      <c r="B356" s="259"/>
      <c r="C356" s="260"/>
      <c r="D356" s="73"/>
      <c r="E356" s="209"/>
      <c r="F356" s="209"/>
      <c r="G356" s="209"/>
      <c r="H356" s="209"/>
      <c r="I356" s="209"/>
      <c r="J356" s="209"/>
      <c r="K356" s="209"/>
      <c r="L356" s="209"/>
      <c r="M356" s="209"/>
      <c r="N356" s="209"/>
      <c r="O356" s="209"/>
      <c r="P356" s="209"/>
    </row>
    <row r="357" spans="1:16" ht="11.25" customHeight="1" x14ac:dyDescent="0.2">
      <c r="A357" s="255"/>
      <c r="B357" s="259"/>
      <c r="C357" s="260"/>
      <c r="D357" s="73"/>
      <c r="E357" s="209"/>
      <c r="F357" s="209"/>
      <c r="G357" s="209"/>
      <c r="H357" s="209"/>
      <c r="I357" s="209"/>
      <c r="J357" s="209"/>
      <c r="K357" s="209"/>
      <c r="L357" s="209"/>
      <c r="M357" s="209"/>
      <c r="N357" s="209"/>
      <c r="O357" s="209"/>
      <c r="P357" s="209"/>
    </row>
    <row r="358" spans="1:16" ht="11.25" customHeight="1" x14ac:dyDescent="0.2">
      <c r="A358" s="255"/>
      <c r="B358" s="259"/>
      <c r="C358" s="260"/>
      <c r="D358" s="73"/>
      <c r="E358" s="209"/>
      <c r="F358" s="209"/>
      <c r="G358" s="209"/>
      <c r="H358" s="209"/>
      <c r="I358" s="209"/>
      <c r="J358" s="209"/>
      <c r="K358" s="209"/>
      <c r="L358" s="209"/>
      <c r="M358" s="209"/>
      <c r="N358" s="209"/>
      <c r="O358" s="209"/>
      <c r="P358" s="209"/>
    </row>
    <row r="359" spans="1:16" ht="11.25" customHeight="1" x14ac:dyDescent="0.2">
      <c r="A359" s="255"/>
      <c r="B359" s="259"/>
      <c r="C359" s="260"/>
      <c r="D359" s="73"/>
      <c r="E359" s="209"/>
      <c r="F359" s="209"/>
      <c r="G359" s="209"/>
      <c r="H359" s="209"/>
      <c r="I359" s="209"/>
      <c r="J359" s="209"/>
      <c r="K359" s="209"/>
      <c r="L359" s="209"/>
      <c r="M359" s="209"/>
      <c r="N359" s="209"/>
      <c r="O359" s="209"/>
      <c r="P359" s="209"/>
    </row>
    <row r="360" spans="1:16" ht="11.25" customHeight="1" x14ac:dyDescent="0.2">
      <c r="A360" s="255"/>
      <c r="B360" s="259"/>
      <c r="C360" s="260"/>
      <c r="D360" s="73"/>
      <c r="E360" s="209"/>
      <c r="F360" s="209"/>
      <c r="G360" s="209"/>
      <c r="H360" s="209"/>
      <c r="I360" s="209"/>
      <c r="J360" s="209"/>
      <c r="K360" s="209"/>
      <c r="L360" s="209"/>
      <c r="M360" s="209"/>
      <c r="N360" s="209"/>
      <c r="O360" s="209"/>
      <c r="P360" s="209"/>
    </row>
    <row r="361" spans="1:16" ht="11.25" customHeight="1" x14ac:dyDescent="0.2">
      <c r="A361" s="255"/>
      <c r="B361" s="259"/>
      <c r="C361" s="260"/>
      <c r="D361" s="73"/>
      <c r="E361" s="209"/>
      <c r="F361" s="209"/>
      <c r="G361" s="209"/>
      <c r="H361" s="209"/>
      <c r="I361" s="209"/>
      <c r="J361" s="209"/>
      <c r="K361" s="209"/>
      <c r="L361" s="209"/>
      <c r="M361" s="209"/>
      <c r="N361" s="209"/>
      <c r="O361" s="209"/>
      <c r="P361" s="209"/>
    </row>
    <row r="362" spans="1:16" ht="11.25" customHeight="1" x14ac:dyDescent="0.2">
      <c r="A362" s="255"/>
      <c r="B362" s="259"/>
      <c r="C362" s="260"/>
      <c r="D362" s="73"/>
      <c r="E362" s="209"/>
      <c r="F362" s="209"/>
      <c r="G362" s="209"/>
      <c r="H362" s="209"/>
      <c r="I362" s="209"/>
      <c r="J362" s="209"/>
      <c r="K362" s="209"/>
      <c r="L362" s="209"/>
      <c r="M362" s="209"/>
      <c r="N362" s="209"/>
      <c r="O362" s="209"/>
      <c r="P362" s="209"/>
    </row>
    <row r="363" spans="1:16" ht="11.25" customHeight="1" x14ac:dyDescent="0.2">
      <c r="A363" s="255"/>
      <c r="B363" s="259"/>
      <c r="C363" s="260"/>
      <c r="D363" s="73"/>
      <c r="E363" s="209"/>
      <c r="F363" s="209"/>
      <c r="G363" s="209"/>
      <c r="H363" s="209"/>
      <c r="I363" s="209"/>
      <c r="J363" s="209"/>
      <c r="K363" s="209"/>
      <c r="L363" s="209"/>
      <c r="M363" s="209"/>
      <c r="N363" s="209"/>
      <c r="O363" s="209"/>
      <c r="P363" s="209"/>
    </row>
    <row r="364" spans="1:16" ht="11.25" customHeight="1" x14ac:dyDescent="0.2">
      <c r="A364" s="255"/>
      <c r="B364" s="259"/>
      <c r="C364" s="260"/>
      <c r="D364" s="73"/>
      <c r="E364" s="209"/>
      <c r="F364" s="209"/>
      <c r="G364" s="209"/>
      <c r="H364" s="209"/>
      <c r="I364" s="209"/>
      <c r="J364" s="209"/>
      <c r="K364" s="209"/>
      <c r="L364" s="209"/>
      <c r="M364" s="209"/>
      <c r="N364" s="209"/>
      <c r="O364" s="209"/>
      <c r="P364" s="209"/>
    </row>
    <row r="365" spans="1:16" ht="11.25" customHeight="1" x14ac:dyDescent="0.2">
      <c r="A365" s="255"/>
      <c r="B365" s="259"/>
      <c r="C365" s="260"/>
      <c r="D365" s="73"/>
      <c r="E365" s="209"/>
      <c r="F365" s="209"/>
      <c r="G365" s="209"/>
      <c r="H365" s="209"/>
      <c r="I365" s="209"/>
      <c r="J365" s="209"/>
      <c r="K365" s="209"/>
      <c r="L365" s="209"/>
      <c r="M365" s="209"/>
      <c r="N365" s="209"/>
      <c r="O365" s="209"/>
      <c r="P365" s="209"/>
    </row>
    <row r="366" spans="1:16" ht="11.25" customHeight="1" x14ac:dyDescent="0.2">
      <c r="A366" s="255"/>
      <c r="B366" s="259"/>
      <c r="C366" s="260"/>
      <c r="D366" s="73"/>
      <c r="E366" s="209"/>
      <c r="F366" s="209"/>
      <c r="G366" s="209"/>
      <c r="H366" s="209"/>
      <c r="I366" s="209"/>
      <c r="J366" s="209"/>
      <c r="K366" s="209"/>
      <c r="L366" s="209"/>
      <c r="M366" s="209"/>
      <c r="N366" s="209"/>
      <c r="O366" s="209"/>
      <c r="P366" s="209"/>
    </row>
    <row r="367" spans="1:16" ht="11.25" customHeight="1" x14ac:dyDescent="0.2">
      <c r="A367" s="255"/>
      <c r="B367" s="259"/>
      <c r="C367" s="260"/>
      <c r="D367" s="73"/>
      <c r="E367" s="209"/>
      <c r="F367" s="209"/>
      <c r="G367" s="209"/>
      <c r="H367" s="209"/>
      <c r="I367" s="209"/>
      <c r="J367" s="209"/>
      <c r="K367" s="209"/>
      <c r="L367" s="209"/>
      <c r="M367" s="209"/>
      <c r="N367" s="209"/>
      <c r="O367" s="209"/>
      <c r="P367" s="209"/>
    </row>
    <row r="368" spans="1:16" ht="11.25" customHeight="1" x14ac:dyDescent="0.2">
      <c r="A368" s="255"/>
      <c r="B368" s="259"/>
      <c r="C368" s="260"/>
      <c r="D368" s="73"/>
      <c r="E368" s="209"/>
      <c r="F368" s="209"/>
      <c r="G368" s="209"/>
      <c r="H368" s="209"/>
      <c r="I368" s="209"/>
      <c r="J368" s="209"/>
      <c r="K368" s="209"/>
      <c r="L368" s="209"/>
      <c r="M368" s="209"/>
      <c r="N368" s="209"/>
      <c r="O368" s="209"/>
      <c r="P368" s="209"/>
    </row>
    <row r="369" spans="1:16" ht="11.25" customHeight="1" x14ac:dyDescent="0.2">
      <c r="A369" s="255"/>
      <c r="B369" s="259"/>
      <c r="C369" s="260"/>
      <c r="D369" s="73"/>
      <c r="E369" s="209"/>
      <c r="F369" s="209"/>
      <c r="G369" s="209"/>
      <c r="H369" s="209"/>
      <c r="I369" s="209"/>
      <c r="J369" s="209"/>
      <c r="K369" s="209"/>
      <c r="L369" s="209"/>
      <c r="M369" s="209"/>
      <c r="N369" s="209"/>
      <c r="O369" s="209"/>
      <c r="P369" s="209"/>
    </row>
    <row r="370" spans="1:16" ht="11.25" customHeight="1" x14ac:dyDescent="0.2">
      <c r="A370" s="255"/>
      <c r="B370" s="259"/>
      <c r="C370" s="260"/>
      <c r="D370" s="73"/>
      <c r="E370" s="209"/>
      <c r="F370" s="209"/>
      <c r="G370" s="209"/>
      <c r="H370" s="209"/>
      <c r="I370" s="209"/>
      <c r="J370" s="209"/>
      <c r="K370" s="209"/>
      <c r="L370" s="209"/>
      <c r="M370" s="209"/>
      <c r="N370" s="209"/>
      <c r="O370" s="209"/>
      <c r="P370" s="209"/>
    </row>
    <row r="371" spans="1:16" ht="11.25" customHeight="1" x14ac:dyDescent="0.2">
      <c r="A371" s="255"/>
      <c r="B371" s="259"/>
      <c r="C371" s="260"/>
      <c r="D371" s="73"/>
      <c r="E371" s="209"/>
      <c r="F371" s="209"/>
      <c r="G371" s="209"/>
      <c r="H371" s="209"/>
      <c r="I371" s="209"/>
      <c r="J371" s="209"/>
      <c r="K371" s="209"/>
      <c r="L371" s="209"/>
      <c r="M371" s="209"/>
      <c r="N371" s="209"/>
      <c r="O371" s="209"/>
      <c r="P371" s="209"/>
    </row>
    <row r="372" spans="1:16" ht="11.25" customHeight="1" x14ac:dyDescent="0.2">
      <c r="A372" s="255"/>
      <c r="B372" s="259"/>
      <c r="C372" s="260"/>
      <c r="D372" s="73"/>
      <c r="E372" s="209"/>
      <c r="F372" s="209"/>
      <c r="G372" s="209"/>
      <c r="H372" s="209"/>
      <c r="I372" s="209"/>
      <c r="J372" s="209"/>
      <c r="K372" s="209"/>
      <c r="L372" s="209"/>
      <c r="M372" s="209"/>
      <c r="N372" s="209"/>
      <c r="O372" s="209"/>
      <c r="P372" s="209"/>
    </row>
    <row r="373" spans="1:16" ht="11.25" customHeight="1" x14ac:dyDescent="0.2">
      <c r="A373" s="255"/>
      <c r="B373" s="259"/>
      <c r="C373" s="260"/>
      <c r="D373" s="73"/>
      <c r="E373" s="209"/>
      <c r="F373" s="209"/>
      <c r="G373" s="209"/>
      <c r="H373" s="209"/>
      <c r="I373" s="209"/>
      <c r="J373" s="209"/>
      <c r="K373" s="209"/>
      <c r="L373" s="209"/>
      <c r="M373" s="209"/>
      <c r="N373" s="209"/>
      <c r="O373" s="209"/>
      <c r="P373" s="209"/>
    </row>
    <row r="374" spans="1:16" ht="11.25" customHeight="1" x14ac:dyDescent="0.2">
      <c r="A374" s="255"/>
      <c r="B374" s="259"/>
      <c r="C374" s="260"/>
      <c r="D374" s="73"/>
      <c r="E374" s="209"/>
      <c r="F374" s="209"/>
      <c r="G374" s="209"/>
      <c r="H374" s="209"/>
      <c r="I374" s="209"/>
      <c r="J374" s="209"/>
      <c r="K374" s="209"/>
      <c r="L374" s="209"/>
      <c r="M374" s="209"/>
      <c r="N374" s="209"/>
      <c r="O374" s="209"/>
      <c r="P374" s="209"/>
    </row>
    <row r="375" spans="1:16" ht="11.25" customHeight="1" x14ac:dyDescent="0.2">
      <c r="A375" s="255"/>
      <c r="B375" s="259"/>
      <c r="C375" s="260"/>
      <c r="D375" s="73"/>
      <c r="E375" s="209"/>
      <c r="F375" s="209"/>
      <c r="G375" s="209"/>
      <c r="H375" s="209"/>
      <c r="I375" s="209"/>
      <c r="J375" s="209"/>
      <c r="K375" s="209"/>
      <c r="L375" s="209"/>
      <c r="M375" s="209"/>
      <c r="N375" s="209"/>
      <c r="O375" s="209"/>
      <c r="P375" s="209"/>
    </row>
    <row r="376" spans="1:16" ht="11.25" customHeight="1" x14ac:dyDescent="0.2">
      <c r="A376" s="255"/>
      <c r="B376" s="259"/>
      <c r="C376" s="260"/>
      <c r="D376" s="73"/>
      <c r="E376" s="209"/>
      <c r="F376" s="209"/>
      <c r="G376" s="209"/>
      <c r="H376" s="209"/>
      <c r="I376" s="209"/>
      <c r="J376" s="209"/>
      <c r="K376" s="209"/>
      <c r="L376" s="209"/>
      <c r="M376" s="209"/>
      <c r="N376" s="209"/>
      <c r="O376" s="209"/>
      <c r="P376" s="209"/>
    </row>
    <row r="377" spans="1:16" ht="11.25" customHeight="1" x14ac:dyDescent="0.2">
      <c r="A377" s="255"/>
      <c r="B377" s="259"/>
      <c r="C377" s="260"/>
      <c r="D377" s="73"/>
      <c r="E377" s="209"/>
      <c r="F377" s="209"/>
      <c r="G377" s="209"/>
      <c r="H377" s="209"/>
      <c r="I377" s="209"/>
      <c r="J377" s="209"/>
      <c r="K377" s="209"/>
      <c r="L377" s="209"/>
      <c r="M377" s="209"/>
      <c r="N377" s="209"/>
      <c r="O377" s="209"/>
      <c r="P377" s="209"/>
    </row>
    <row r="378" spans="1:16" ht="11.25" customHeight="1" x14ac:dyDescent="0.2">
      <c r="A378" s="255"/>
      <c r="B378" s="259"/>
      <c r="C378" s="260"/>
      <c r="D378" s="73"/>
      <c r="E378" s="209"/>
      <c r="F378" s="209"/>
      <c r="G378" s="209"/>
      <c r="H378" s="209"/>
      <c r="I378" s="209"/>
      <c r="J378" s="209"/>
      <c r="K378" s="209"/>
      <c r="L378" s="209"/>
      <c r="M378" s="209"/>
      <c r="N378" s="209"/>
      <c r="O378" s="209"/>
      <c r="P378" s="209"/>
    </row>
    <row r="379" spans="1:16" ht="11.25" customHeight="1" x14ac:dyDescent="0.2">
      <c r="A379" s="255"/>
      <c r="B379" s="259"/>
      <c r="C379" s="260"/>
      <c r="D379" s="73"/>
      <c r="E379" s="209"/>
      <c r="F379" s="209"/>
      <c r="G379" s="209"/>
      <c r="H379" s="209"/>
      <c r="I379" s="209"/>
      <c r="J379" s="209"/>
      <c r="K379" s="209"/>
      <c r="L379" s="209"/>
      <c r="M379" s="209"/>
      <c r="N379" s="209"/>
      <c r="O379" s="209"/>
      <c r="P379" s="209"/>
    </row>
    <row r="380" spans="1:16" ht="11.25" customHeight="1" x14ac:dyDescent="0.2">
      <c r="A380" s="255"/>
      <c r="B380" s="259"/>
      <c r="C380" s="260"/>
      <c r="D380" s="73"/>
      <c r="E380" s="209"/>
      <c r="F380" s="209"/>
      <c r="G380" s="209"/>
      <c r="H380" s="209"/>
      <c r="I380" s="209"/>
      <c r="J380" s="209"/>
      <c r="K380" s="209"/>
      <c r="L380" s="209"/>
      <c r="M380" s="209"/>
      <c r="N380" s="209"/>
      <c r="O380" s="209"/>
      <c r="P380" s="209"/>
    </row>
    <row r="381" spans="1:16" ht="11.25" customHeight="1" x14ac:dyDescent="0.2">
      <c r="A381" s="255"/>
      <c r="B381" s="259"/>
      <c r="C381" s="260"/>
      <c r="D381" s="73"/>
      <c r="E381" s="209"/>
      <c r="F381" s="209"/>
      <c r="G381" s="209"/>
      <c r="H381" s="209"/>
      <c r="I381" s="209"/>
      <c r="J381" s="209"/>
      <c r="K381" s="209"/>
      <c r="L381" s="209"/>
      <c r="M381" s="209"/>
      <c r="N381" s="209"/>
      <c r="O381" s="209"/>
      <c r="P381" s="209"/>
    </row>
    <row r="382" spans="1:16" ht="11.25" customHeight="1" x14ac:dyDescent="0.2">
      <c r="A382" s="255"/>
      <c r="B382" s="259"/>
      <c r="C382" s="260"/>
      <c r="D382" s="73"/>
      <c r="E382" s="209"/>
      <c r="F382" s="209"/>
      <c r="G382" s="209"/>
      <c r="H382" s="209"/>
      <c r="I382" s="209"/>
      <c r="J382" s="209"/>
      <c r="K382" s="209"/>
      <c r="L382" s="209"/>
      <c r="M382" s="209"/>
      <c r="N382" s="209"/>
      <c r="O382" s="209"/>
      <c r="P382" s="209"/>
    </row>
    <row r="383" spans="1:16" ht="11.25" customHeight="1" x14ac:dyDescent="0.2">
      <c r="A383" s="255"/>
      <c r="B383" s="259"/>
      <c r="C383" s="260"/>
      <c r="D383" s="73"/>
      <c r="E383" s="209"/>
      <c r="F383" s="209"/>
      <c r="G383" s="209"/>
      <c r="H383" s="209"/>
      <c r="I383" s="209"/>
      <c r="J383" s="209"/>
      <c r="K383" s="209"/>
      <c r="L383" s="209"/>
      <c r="M383" s="209"/>
      <c r="N383" s="209"/>
      <c r="O383" s="209"/>
      <c r="P383" s="209"/>
    </row>
    <row r="384" spans="1:16" ht="11.25" customHeight="1" x14ac:dyDescent="0.2">
      <c r="A384" s="255"/>
      <c r="B384" s="259"/>
      <c r="C384" s="260"/>
      <c r="D384" s="73"/>
      <c r="E384" s="209"/>
      <c r="F384" s="209"/>
      <c r="G384" s="209"/>
      <c r="H384" s="209"/>
      <c r="I384" s="209"/>
      <c r="J384" s="209"/>
      <c r="K384" s="209"/>
      <c r="L384" s="209"/>
      <c r="M384" s="209"/>
      <c r="N384" s="209"/>
      <c r="O384" s="209"/>
      <c r="P384" s="209"/>
    </row>
    <row r="385" spans="1:16" ht="11.25" customHeight="1" x14ac:dyDescent="0.2">
      <c r="A385" s="255"/>
      <c r="B385" s="259"/>
      <c r="C385" s="260"/>
      <c r="D385" s="73"/>
      <c r="E385" s="209"/>
      <c r="F385" s="209"/>
      <c r="G385" s="209"/>
      <c r="H385" s="209"/>
      <c r="I385" s="209"/>
      <c r="J385" s="209"/>
      <c r="K385" s="209"/>
      <c r="L385" s="209"/>
      <c r="M385" s="209"/>
      <c r="N385" s="209"/>
      <c r="O385" s="209"/>
      <c r="P385" s="209"/>
    </row>
    <row r="386" spans="1:16" ht="11.25" customHeight="1" x14ac:dyDescent="0.2">
      <c r="A386" s="255"/>
      <c r="B386" s="259"/>
      <c r="C386" s="260"/>
      <c r="D386" s="73"/>
      <c r="E386" s="209"/>
      <c r="F386" s="209"/>
      <c r="G386" s="209"/>
      <c r="H386" s="209"/>
      <c r="I386" s="209"/>
      <c r="J386" s="209"/>
      <c r="K386" s="209"/>
      <c r="L386" s="209"/>
      <c r="M386" s="209"/>
      <c r="N386" s="209"/>
      <c r="O386" s="209"/>
      <c r="P386" s="209"/>
    </row>
    <row r="387" spans="1:16" ht="11.25" customHeight="1" x14ac:dyDescent="0.2">
      <c r="A387" s="255"/>
      <c r="B387" s="259"/>
      <c r="C387" s="260"/>
      <c r="D387" s="73"/>
      <c r="E387" s="209"/>
      <c r="F387" s="209"/>
      <c r="G387" s="209"/>
      <c r="H387" s="209"/>
      <c r="I387" s="209"/>
      <c r="J387" s="209"/>
      <c r="K387" s="209"/>
      <c r="L387" s="209"/>
      <c r="M387" s="209"/>
      <c r="N387" s="209"/>
      <c r="O387" s="209"/>
      <c r="P387" s="209"/>
    </row>
    <row r="388" spans="1:16" ht="11.25" customHeight="1" x14ac:dyDescent="0.2">
      <c r="A388" s="255"/>
      <c r="B388" s="259"/>
      <c r="C388" s="260"/>
      <c r="D388" s="73"/>
      <c r="E388" s="209"/>
      <c r="F388" s="209"/>
      <c r="G388" s="209"/>
      <c r="H388" s="209"/>
      <c r="I388" s="209"/>
      <c r="J388" s="209"/>
      <c r="K388" s="209"/>
      <c r="L388" s="209"/>
      <c r="M388" s="209"/>
      <c r="N388" s="209"/>
      <c r="O388" s="209"/>
      <c r="P388" s="209"/>
    </row>
    <row r="389" spans="1:16" ht="11.25" customHeight="1" x14ac:dyDescent="0.2">
      <c r="A389" s="255"/>
      <c r="B389" s="259"/>
      <c r="C389" s="260"/>
      <c r="D389" s="73"/>
      <c r="E389" s="209"/>
      <c r="F389" s="209"/>
      <c r="G389" s="209"/>
      <c r="H389" s="209"/>
      <c r="I389" s="209"/>
      <c r="J389" s="209"/>
      <c r="K389" s="209"/>
      <c r="L389" s="209"/>
      <c r="M389" s="209"/>
      <c r="N389" s="209"/>
      <c r="O389" s="209"/>
      <c r="P389" s="209"/>
    </row>
    <row r="390" spans="1:16" ht="11.25" customHeight="1" x14ac:dyDescent="0.2">
      <c r="A390" s="255"/>
      <c r="B390" s="259"/>
      <c r="C390" s="260"/>
      <c r="D390" s="73"/>
      <c r="E390" s="209"/>
      <c r="F390" s="209"/>
      <c r="G390" s="209"/>
      <c r="H390" s="209"/>
      <c r="I390" s="209"/>
      <c r="J390" s="209"/>
      <c r="K390" s="209"/>
      <c r="L390" s="209"/>
      <c r="M390" s="209"/>
      <c r="N390" s="209"/>
      <c r="O390" s="209"/>
      <c r="P390" s="209"/>
    </row>
    <row r="391" spans="1:16" ht="11.25" customHeight="1" x14ac:dyDescent="0.2">
      <c r="A391" s="255"/>
      <c r="B391" s="259"/>
      <c r="C391" s="260"/>
      <c r="D391" s="73"/>
      <c r="E391" s="209"/>
      <c r="F391" s="209"/>
      <c r="G391" s="209"/>
      <c r="H391" s="209"/>
      <c r="I391" s="209"/>
      <c r="J391" s="209"/>
      <c r="K391" s="209"/>
      <c r="L391" s="209"/>
      <c r="M391" s="209"/>
      <c r="N391" s="209"/>
      <c r="O391" s="209"/>
      <c r="P391" s="209"/>
    </row>
    <row r="392" spans="1:16" ht="11.25" customHeight="1" x14ac:dyDescent="0.2">
      <c r="A392" s="255"/>
      <c r="B392" s="259"/>
      <c r="C392" s="260"/>
      <c r="D392" s="73"/>
      <c r="E392" s="209"/>
      <c r="F392" s="209"/>
      <c r="G392" s="209"/>
      <c r="H392" s="209"/>
      <c r="I392" s="209"/>
      <c r="J392" s="209"/>
      <c r="K392" s="209"/>
      <c r="L392" s="209"/>
      <c r="M392" s="209"/>
      <c r="N392" s="209"/>
      <c r="O392" s="209"/>
      <c r="P392" s="209"/>
    </row>
    <row r="393" spans="1:16" ht="11.25" customHeight="1" x14ac:dyDescent="0.2">
      <c r="A393" s="255"/>
      <c r="B393" s="259"/>
      <c r="C393" s="260"/>
      <c r="D393" s="73"/>
      <c r="E393" s="209"/>
      <c r="F393" s="209"/>
      <c r="G393" s="209"/>
      <c r="H393" s="209"/>
      <c r="I393" s="209"/>
      <c r="J393" s="209"/>
      <c r="K393" s="209"/>
      <c r="L393" s="209"/>
      <c r="M393" s="209"/>
      <c r="N393" s="209"/>
      <c r="O393" s="209"/>
      <c r="P393" s="209"/>
    </row>
    <row r="394" spans="1:16" ht="11.25" customHeight="1" x14ac:dyDescent="0.2">
      <c r="A394" s="255"/>
      <c r="B394" s="259"/>
      <c r="C394" s="260"/>
      <c r="D394" s="73"/>
      <c r="E394" s="209"/>
      <c r="F394" s="209"/>
      <c r="G394" s="209"/>
      <c r="H394" s="209"/>
      <c r="I394" s="209"/>
      <c r="J394" s="209"/>
      <c r="K394" s="209"/>
      <c r="L394" s="209"/>
      <c r="M394" s="209"/>
      <c r="N394" s="209"/>
      <c r="O394" s="209"/>
      <c r="P394" s="209"/>
    </row>
    <row r="395" spans="1:16" ht="11.25" customHeight="1" x14ac:dyDescent="0.2">
      <c r="A395" s="255"/>
      <c r="B395" s="259"/>
      <c r="C395" s="260"/>
      <c r="D395" s="73"/>
      <c r="E395" s="209"/>
      <c r="F395" s="209"/>
      <c r="G395" s="209"/>
      <c r="H395" s="209"/>
      <c r="I395" s="209"/>
      <c r="J395" s="209"/>
      <c r="K395" s="209"/>
      <c r="L395" s="209"/>
      <c r="M395" s="209"/>
      <c r="N395" s="209"/>
      <c r="O395" s="209"/>
      <c r="P395" s="209"/>
    </row>
    <row r="396" spans="1:16" ht="11.25" customHeight="1" x14ac:dyDescent="0.2">
      <c r="A396" s="255"/>
      <c r="B396" s="259"/>
      <c r="C396" s="260"/>
      <c r="D396" s="73"/>
      <c r="E396" s="209"/>
      <c r="F396" s="209"/>
      <c r="G396" s="209"/>
      <c r="H396" s="209"/>
      <c r="I396" s="209"/>
      <c r="J396" s="209"/>
      <c r="K396" s="209"/>
      <c r="L396" s="209"/>
      <c r="M396" s="209"/>
      <c r="N396" s="209"/>
      <c r="O396" s="209"/>
      <c r="P396" s="209"/>
    </row>
    <row r="397" spans="1:16" ht="11.25" customHeight="1" x14ac:dyDescent="0.2">
      <c r="A397" s="255"/>
      <c r="B397" s="259"/>
      <c r="C397" s="260"/>
      <c r="D397" s="73"/>
      <c r="E397" s="209"/>
      <c r="F397" s="209"/>
      <c r="G397" s="209"/>
      <c r="H397" s="209"/>
      <c r="I397" s="209"/>
      <c r="J397" s="209"/>
      <c r="K397" s="209"/>
      <c r="L397" s="209"/>
      <c r="M397" s="209"/>
      <c r="N397" s="209"/>
      <c r="O397" s="209"/>
      <c r="P397" s="209"/>
    </row>
    <row r="398" spans="1:16" ht="11.25" customHeight="1" x14ac:dyDescent="0.2">
      <c r="A398" s="255"/>
      <c r="B398" s="259"/>
      <c r="C398" s="260"/>
      <c r="D398" s="73"/>
      <c r="E398" s="209"/>
      <c r="F398" s="209"/>
      <c r="G398" s="209"/>
      <c r="H398" s="209"/>
      <c r="I398" s="209"/>
      <c r="J398" s="209"/>
      <c r="K398" s="209"/>
      <c r="L398" s="209"/>
      <c r="M398" s="209"/>
      <c r="N398" s="209"/>
      <c r="O398" s="209"/>
      <c r="P398" s="209"/>
    </row>
    <row r="399" spans="1:16" ht="11.25" customHeight="1" x14ac:dyDescent="0.2">
      <c r="A399" s="255"/>
      <c r="B399" s="259"/>
      <c r="C399" s="260"/>
      <c r="D399" s="73"/>
      <c r="E399" s="209"/>
      <c r="F399" s="209"/>
      <c r="G399" s="209"/>
      <c r="H399" s="209"/>
      <c r="I399" s="209"/>
      <c r="J399" s="209"/>
      <c r="K399" s="209"/>
      <c r="L399" s="209"/>
      <c r="M399" s="209"/>
      <c r="N399" s="209"/>
      <c r="O399" s="209"/>
      <c r="P399" s="209"/>
    </row>
    <row r="400" spans="1:16" ht="11.25" customHeight="1" x14ac:dyDescent="0.2">
      <c r="A400" s="255"/>
      <c r="B400" s="259"/>
      <c r="C400" s="260"/>
      <c r="D400" s="73"/>
      <c r="E400" s="209"/>
      <c r="F400" s="209"/>
      <c r="G400" s="209"/>
      <c r="H400" s="209"/>
      <c r="I400" s="209"/>
      <c r="J400" s="209"/>
      <c r="K400" s="209"/>
      <c r="L400" s="209"/>
      <c r="M400" s="209"/>
      <c r="N400" s="209"/>
      <c r="O400" s="209"/>
      <c r="P400" s="209"/>
    </row>
    <row r="401" spans="1:16" ht="11.25" customHeight="1" x14ac:dyDescent="0.2">
      <c r="A401" s="255"/>
      <c r="B401" s="259"/>
      <c r="C401" s="260"/>
      <c r="D401" s="73"/>
      <c r="E401" s="209"/>
      <c r="F401" s="209"/>
      <c r="G401" s="209"/>
      <c r="H401" s="209"/>
      <c r="I401" s="209"/>
      <c r="J401" s="209"/>
      <c r="K401" s="209"/>
      <c r="L401" s="209"/>
      <c r="M401" s="209"/>
      <c r="N401" s="209"/>
      <c r="O401" s="209"/>
      <c r="P401" s="209"/>
    </row>
    <row r="402" spans="1:16" ht="11.25" customHeight="1" x14ac:dyDescent="0.2">
      <c r="A402" s="255"/>
      <c r="B402" s="259"/>
      <c r="C402" s="260"/>
      <c r="D402" s="73"/>
      <c r="E402" s="209"/>
      <c r="F402" s="209"/>
      <c r="G402" s="209"/>
      <c r="H402" s="209"/>
      <c r="I402" s="209"/>
      <c r="J402" s="209"/>
      <c r="K402" s="209"/>
      <c r="L402" s="209"/>
      <c r="M402" s="209"/>
      <c r="N402" s="209"/>
      <c r="O402" s="209"/>
      <c r="P402" s="209"/>
    </row>
    <row r="403" spans="1:16" ht="11.25" customHeight="1" x14ac:dyDescent="0.2">
      <c r="A403" s="255"/>
      <c r="B403" s="259"/>
      <c r="C403" s="260"/>
      <c r="D403" s="73"/>
      <c r="E403" s="209"/>
      <c r="F403" s="209"/>
      <c r="G403" s="209"/>
      <c r="H403" s="209"/>
      <c r="I403" s="209"/>
      <c r="J403" s="209"/>
      <c r="K403" s="209"/>
      <c r="L403" s="209"/>
      <c r="M403" s="209"/>
      <c r="N403" s="209"/>
      <c r="O403" s="209"/>
      <c r="P403" s="209"/>
    </row>
    <row r="404" spans="1:16" ht="11.25" customHeight="1" x14ac:dyDescent="0.2">
      <c r="A404" s="255"/>
      <c r="B404" s="259"/>
      <c r="C404" s="260"/>
      <c r="D404" s="73"/>
      <c r="E404" s="209"/>
      <c r="F404" s="209"/>
      <c r="G404" s="209"/>
      <c r="H404" s="209"/>
      <c r="I404" s="209"/>
      <c r="J404" s="209"/>
      <c r="K404" s="209"/>
      <c r="L404" s="209"/>
      <c r="M404" s="209"/>
      <c r="N404" s="209"/>
      <c r="O404" s="209"/>
      <c r="P404" s="209"/>
    </row>
    <row r="405" spans="1:16" ht="11.25" customHeight="1" x14ac:dyDescent="0.2">
      <c r="A405" s="255"/>
      <c r="B405" s="259"/>
      <c r="C405" s="260"/>
      <c r="D405" s="73"/>
      <c r="E405" s="209"/>
      <c r="F405" s="209"/>
      <c r="G405" s="209"/>
      <c r="H405" s="209"/>
      <c r="I405" s="209"/>
      <c r="J405" s="209"/>
      <c r="K405" s="209"/>
      <c r="L405" s="209"/>
      <c r="M405" s="209"/>
      <c r="N405" s="209"/>
      <c r="O405" s="209"/>
      <c r="P405" s="209"/>
    </row>
    <row r="406" spans="1:16" ht="11.25" customHeight="1" x14ac:dyDescent="0.2">
      <c r="A406" s="255"/>
      <c r="B406" s="259"/>
      <c r="C406" s="260"/>
      <c r="D406" s="73"/>
      <c r="E406" s="209"/>
      <c r="F406" s="209"/>
      <c r="G406" s="209"/>
      <c r="H406" s="209"/>
      <c r="I406" s="209"/>
      <c r="J406" s="209"/>
      <c r="K406" s="209"/>
      <c r="L406" s="209"/>
      <c r="M406" s="209"/>
      <c r="N406" s="209"/>
      <c r="O406" s="209"/>
      <c r="P406" s="209"/>
    </row>
    <row r="407" spans="1:16" ht="11.25" customHeight="1" x14ac:dyDescent="0.2">
      <c r="A407" s="255"/>
      <c r="B407" s="259"/>
      <c r="C407" s="260"/>
      <c r="D407" s="73"/>
      <c r="E407" s="209"/>
      <c r="F407" s="209"/>
      <c r="G407" s="209"/>
      <c r="H407" s="209"/>
      <c r="I407" s="209"/>
      <c r="J407" s="209"/>
      <c r="K407" s="209"/>
      <c r="L407" s="209"/>
      <c r="M407" s="209"/>
      <c r="N407" s="209"/>
      <c r="O407" s="209"/>
      <c r="P407" s="209"/>
    </row>
    <row r="408" spans="1:16" ht="11.25" customHeight="1" x14ac:dyDescent="0.2">
      <c r="A408" s="255"/>
      <c r="B408" s="259"/>
      <c r="C408" s="260"/>
      <c r="D408" s="73"/>
      <c r="E408" s="209"/>
      <c r="F408" s="209"/>
      <c r="G408" s="209"/>
      <c r="H408" s="209"/>
      <c r="I408" s="209"/>
      <c r="J408" s="209"/>
      <c r="K408" s="209"/>
      <c r="L408" s="209"/>
      <c r="M408" s="209"/>
      <c r="N408" s="209"/>
      <c r="O408" s="209"/>
      <c r="P408" s="209"/>
    </row>
    <row r="409" spans="1:16" ht="11.25" customHeight="1" x14ac:dyDescent="0.2">
      <c r="A409" s="255"/>
      <c r="B409" s="259"/>
      <c r="C409" s="260"/>
      <c r="D409" s="73"/>
      <c r="E409" s="209"/>
      <c r="F409" s="209"/>
      <c r="G409" s="209"/>
      <c r="H409" s="209"/>
      <c r="I409" s="209"/>
      <c r="J409" s="209"/>
      <c r="K409" s="209"/>
      <c r="L409" s="209"/>
      <c r="M409" s="209"/>
      <c r="N409" s="209"/>
      <c r="O409" s="209"/>
      <c r="P409" s="209"/>
    </row>
    <row r="410" spans="1:16" ht="11.25" customHeight="1" x14ac:dyDescent="0.2">
      <c r="A410" s="255"/>
      <c r="B410" s="259"/>
      <c r="C410" s="260"/>
      <c r="D410" s="73"/>
      <c r="E410" s="209"/>
      <c r="F410" s="209"/>
      <c r="G410" s="209"/>
      <c r="H410" s="209"/>
      <c r="I410" s="209"/>
      <c r="J410" s="209"/>
      <c r="K410" s="209"/>
      <c r="L410" s="209"/>
      <c r="M410" s="209"/>
      <c r="N410" s="209"/>
      <c r="O410" s="209"/>
      <c r="P410" s="209"/>
    </row>
    <row r="411" spans="1:16" ht="11.25" customHeight="1" x14ac:dyDescent="0.2">
      <c r="A411" s="255"/>
      <c r="B411" s="259"/>
      <c r="C411" s="260"/>
      <c r="D411" s="73"/>
      <c r="E411" s="209"/>
      <c r="F411" s="209"/>
      <c r="G411" s="209"/>
      <c r="H411" s="209"/>
      <c r="I411" s="209"/>
      <c r="J411" s="209"/>
      <c r="K411" s="209"/>
      <c r="L411" s="209"/>
      <c r="M411" s="209"/>
      <c r="N411" s="209"/>
      <c r="O411" s="209"/>
      <c r="P411" s="209"/>
    </row>
    <row r="412" spans="1:16" ht="11.25" customHeight="1" x14ac:dyDescent="0.2">
      <c r="A412" s="255"/>
      <c r="B412" s="259"/>
      <c r="C412" s="260"/>
      <c r="D412" s="73"/>
      <c r="E412" s="209"/>
      <c r="F412" s="209"/>
      <c r="G412" s="209"/>
      <c r="H412" s="209"/>
      <c r="I412" s="209"/>
      <c r="J412" s="209"/>
      <c r="K412" s="209"/>
      <c r="L412" s="209"/>
      <c r="M412" s="209"/>
      <c r="N412" s="209"/>
      <c r="O412" s="209"/>
      <c r="P412" s="209"/>
    </row>
    <row r="413" spans="1:16" ht="11.25" customHeight="1" x14ac:dyDescent="0.2">
      <c r="A413" s="255"/>
      <c r="B413" s="259"/>
      <c r="C413" s="260"/>
      <c r="D413" s="73"/>
      <c r="E413" s="209"/>
      <c r="F413" s="209"/>
      <c r="G413" s="209"/>
      <c r="H413" s="209"/>
      <c r="I413" s="209"/>
      <c r="J413" s="209"/>
      <c r="K413" s="209"/>
      <c r="L413" s="209"/>
      <c r="M413" s="209"/>
      <c r="N413" s="209"/>
      <c r="O413" s="209"/>
      <c r="P413" s="209"/>
    </row>
    <row r="414" spans="1:16" ht="11.25" customHeight="1" x14ac:dyDescent="0.2">
      <c r="A414" s="255"/>
      <c r="B414" s="259"/>
      <c r="C414" s="260"/>
      <c r="D414" s="73"/>
      <c r="E414" s="209"/>
      <c r="F414" s="209"/>
      <c r="G414" s="209"/>
      <c r="H414" s="209"/>
      <c r="I414" s="209"/>
      <c r="J414" s="209"/>
      <c r="K414" s="209"/>
      <c r="L414" s="209"/>
      <c r="M414" s="209"/>
      <c r="N414" s="209"/>
      <c r="O414" s="209"/>
      <c r="P414" s="209"/>
    </row>
    <row r="415" spans="1:16" ht="11.25" customHeight="1" x14ac:dyDescent="0.2">
      <c r="A415" s="255"/>
      <c r="B415" s="259"/>
      <c r="C415" s="260"/>
      <c r="D415" s="73"/>
      <c r="E415" s="209"/>
      <c r="F415" s="209"/>
      <c r="G415" s="209"/>
      <c r="H415" s="209"/>
      <c r="I415" s="209"/>
      <c r="J415" s="209"/>
      <c r="K415" s="209"/>
      <c r="L415" s="209"/>
      <c r="M415" s="209"/>
      <c r="N415" s="209"/>
      <c r="O415" s="209"/>
      <c r="P415" s="209"/>
    </row>
    <row r="416" spans="1:16" ht="11.25" customHeight="1" x14ac:dyDescent="0.2">
      <c r="A416" s="255"/>
      <c r="B416" s="259"/>
      <c r="C416" s="260"/>
      <c r="D416" s="73"/>
      <c r="E416" s="209"/>
      <c r="F416" s="209"/>
      <c r="G416" s="209"/>
      <c r="H416" s="209"/>
      <c r="I416" s="209"/>
      <c r="J416" s="209"/>
      <c r="K416" s="209"/>
      <c r="L416" s="209"/>
      <c r="M416" s="209"/>
      <c r="N416" s="209"/>
      <c r="O416" s="209"/>
      <c r="P416" s="209"/>
    </row>
    <row r="417" spans="1:16" ht="11.25" customHeight="1" x14ac:dyDescent="0.2">
      <c r="A417" s="255"/>
      <c r="B417" s="259"/>
      <c r="C417" s="260"/>
      <c r="D417" s="73"/>
      <c r="E417" s="209"/>
      <c r="F417" s="209"/>
      <c r="G417" s="209"/>
      <c r="H417" s="209"/>
      <c r="I417" s="209"/>
      <c r="J417" s="209"/>
      <c r="K417" s="209"/>
      <c r="L417" s="209"/>
      <c r="M417" s="209"/>
      <c r="N417" s="209"/>
      <c r="O417" s="209"/>
      <c r="P417" s="209"/>
    </row>
    <row r="418" spans="1:16" ht="11.25" customHeight="1" x14ac:dyDescent="0.2">
      <c r="A418" s="255"/>
      <c r="B418" s="259"/>
      <c r="C418" s="260"/>
      <c r="D418" s="73"/>
      <c r="E418" s="209"/>
      <c r="F418" s="209"/>
      <c r="G418" s="209"/>
      <c r="H418" s="209"/>
      <c r="I418" s="209"/>
      <c r="J418" s="209"/>
      <c r="K418" s="209"/>
      <c r="L418" s="209"/>
      <c r="M418" s="209"/>
      <c r="N418" s="209"/>
      <c r="O418" s="209"/>
      <c r="P418" s="209"/>
    </row>
    <row r="419" spans="1:16" ht="11.25" customHeight="1" x14ac:dyDescent="0.2">
      <c r="A419" s="255"/>
      <c r="B419" s="259"/>
      <c r="C419" s="260"/>
      <c r="D419" s="73"/>
      <c r="E419" s="209"/>
      <c r="F419" s="209"/>
      <c r="G419" s="209"/>
      <c r="H419" s="209"/>
      <c r="I419" s="209"/>
      <c r="J419" s="209"/>
      <c r="K419" s="209"/>
      <c r="L419" s="209"/>
      <c r="M419" s="209"/>
      <c r="N419" s="209"/>
      <c r="O419" s="209"/>
      <c r="P419" s="209"/>
    </row>
    <row r="420" spans="1:16" ht="11.25" customHeight="1" x14ac:dyDescent="0.2">
      <c r="A420" s="255"/>
      <c r="B420" s="259"/>
      <c r="C420" s="260"/>
      <c r="D420" s="73"/>
      <c r="E420" s="209"/>
      <c r="F420" s="209"/>
      <c r="G420" s="209"/>
      <c r="H420" s="209"/>
      <c r="I420" s="209"/>
      <c r="J420" s="209"/>
      <c r="K420" s="209"/>
      <c r="L420" s="209"/>
      <c r="M420" s="209"/>
      <c r="N420" s="209"/>
      <c r="O420" s="209"/>
      <c r="P420" s="209"/>
    </row>
    <row r="421" spans="1:16" ht="11.25" customHeight="1" x14ac:dyDescent="0.2">
      <c r="A421" s="255"/>
      <c r="B421" s="259"/>
      <c r="C421" s="260"/>
      <c r="D421" s="73"/>
      <c r="E421" s="209"/>
      <c r="F421" s="209"/>
      <c r="G421" s="209"/>
      <c r="H421" s="209"/>
      <c r="I421" s="209"/>
      <c r="J421" s="209"/>
      <c r="K421" s="209"/>
      <c r="L421" s="209"/>
      <c r="M421" s="209"/>
      <c r="N421" s="209"/>
      <c r="O421" s="209"/>
      <c r="P421" s="209"/>
    </row>
    <row r="422" spans="1:16" ht="11.25" customHeight="1" x14ac:dyDescent="0.2">
      <c r="A422" s="255"/>
      <c r="B422" s="259"/>
      <c r="C422" s="260"/>
      <c r="D422" s="73"/>
      <c r="E422" s="209"/>
      <c r="F422" s="209"/>
      <c r="G422" s="209"/>
      <c r="H422" s="209"/>
      <c r="I422" s="209"/>
      <c r="J422" s="209"/>
      <c r="K422" s="209"/>
      <c r="L422" s="209"/>
      <c r="M422" s="209"/>
      <c r="N422" s="209"/>
      <c r="O422" s="209"/>
      <c r="P422" s="209"/>
    </row>
    <row r="423" spans="1:16" ht="11.25" customHeight="1" x14ac:dyDescent="0.2">
      <c r="A423" s="255"/>
      <c r="B423" s="259"/>
      <c r="C423" s="260"/>
      <c r="D423" s="73"/>
      <c r="E423" s="209"/>
      <c r="F423" s="209"/>
      <c r="G423" s="209"/>
      <c r="H423" s="209"/>
      <c r="I423" s="209"/>
      <c r="J423" s="209"/>
      <c r="K423" s="209"/>
      <c r="L423" s="209"/>
      <c r="M423" s="209"/>
      <c r="N423" s="209"/>
      <c r="O423" s="209"/>
      <c r="P423" s="209"/>
    </row>
    <row r="424" spans="1:16" ht="11.25" customHeight="1" x14ac:dyDescent="0.2">
      <c r="A424" s="255"/>
      <c r="B424" s="259"/>
      <c r="C424" s="260"/>
      <c r="D424" s="73"/>
      <c r="E424" s="209"/>
      <c r="F424" s="209"/>
      <c r="G424" s="209"/>
      <c r="H424" s="209"/>
      <c r="I424" s="209"/>
      <c r="J424" s="209"/>
      <c r="K424" s="209"/>
      <c r="L424" s="209"/>
      <c r="M424" s="209"/>
      <c r="N424" s="209"/>
      <c r="O424" s="209"/>
      <c r="P424" s="209"/>
    </row>
    <row r="425" spans="1:16" ht="11.25" customHeight="1" x14ac:dyDescent="0.2">
      <c r="A425" s="255"/>
      <c r="B425" s="259"/>
      <c r="C425" s="260"/>
      <c r="D425" s="73"/>
      <c r="E425" s="209"/>
      <c r="F425" s="209"/>
      <c r="G425" s="209"/>
      <c r="H425" s="209"/>
      <c r="I425" s="209"/>
      <c r="J425" s="209"/>
      <c r="K425" s="209"/>
      <c r="L425" s="209"/>
      <c r="M425" s="209"/>
      <c r="N425" s="209"/>
      <c r="O425" s="209"/>
      <c r="P425" s="209"/>
    </row>
    <row r="426" spans="1:16" ht="11.25" customHeight="1" x14ac:dyDescent="0.2">
      <c r="A426" s="255"/>
      <c r="B426" s="259"/>
      <c r="C426" s="260"/>
      <c r="D426" s="73"/>
      <c r="E426" s="209"/>
      <c r="F426" s="209"/>
      <c r="G426" s="209"/>
      <c r="H426" s="209"/>
      <c r="I426" s="209"/>
      <c r="J426" s="209"/>
      <c r="K426" s="209"/>
      <c r="L426" s="209"/>
      <c r="M426" s="209"/>
      <c r="N426" s="209"/>
      <c r="O426" s="209"/>
      <c r="P426" s="209"/>
    </row>
    <row r="427" spans="1:16" ht="11.25" customHeight="1" x14ac:dyDescent="0.2">
      <c r="A427" s="255"/>
      <c r="B427" s="259"/>
      <c r="C427" s="260"/>
      <c r="D427" s="73"/>
      <c r="E427" s="209"/>
      <c r="F427" s="209"/>
      <c r="G427" s="209"/>
      <c r="H427" s="209"/>
      <c r="I427" s="209"/>
      <c r="J427" s="209"/>
      <c r="K427" s="209"/>
      <c r="L427" s="209"/>
      <c r="M427" s="209"/>
      <c r="N427" s="209"/>
      <c r="O427" s="209"/>
      <c r="P427" s="209"/>
    </row>
    <row r="428" spans="1:16" ht="11.25" customHeight="1" x14ac:dyDescent="0.2">
      <c r="A428" s="255"/>
      <c r="B428" s="259"/>
      <c r="C428" s="260"/>
      <c r="D428" s="73"/>
      <c r="E428" s="209"/>
      <c r="F428" s="209"/>
      <c r="G428" s="209"/>
      <c r="H428" s="209"/>
      <c r="I428" s="209"/>
      <c r="J428" s="209"/>
      <c r="K428" s="209"/>
      <c r="L428" s="209"/>
      <c r="M428" s="209"/>
      <c r="N428" s="209"/>
      <c r="O428" s="209"/>
      <c r="P428" s="209"/>
    </row>
    <row r="429" spans="1:16" ht="11.25" customHeight="1" x14ac:dyDescent="0.2">
      <c r="A429" s="255"/>
      <c r="B429" s="259"/>
      <c r="C429" s="260"/>
      <c r="D429" s="73"/>
      <c r="E429" s="209"/>
      <c r="F429" s="209"/>
      <c r="G429" s="209"/>
      <c r="H429" s="209"/>
      <c r="I429" s="209"/>
      <c r="J429" s="209"/>
      <c r="K429" s="209"/>
      <c r="L429" s="209"/>
      <c r="M429" s="209"/>
      <c r="N429" s="209"/>
      <c r="O429" s="209"/>
      <c r="P429" s="209"/>
    </row>
    <row r="430" spans="1:16" ht="11.25" customHeight="1" x14ac:dyDescent="0.2">
      <c r="A430" s="255"/>
      <c r="B430" s="259"/>
      <c r="C430" s="260"/>
      <c r="D430" s="73"/>
      <c r="E430" s="209"/>
      <c r="F430" s="209"/>
      <c r="G430" s="209"/>
      <c r="H430" s="209"/>
      <c r="I430" s="209"/>
      <c r="J430" s="209"/>
      <c r="K430" s="209"/>
      <c r="L430" s="209"/>
      <c r="M430" s="209"/>
      <c r="N430" s="209"/>
      <c r="O430" s="209"/>
      <c r="P430" s="209"/>
    </row>
    <row r="431" spans="1:16" ht="11.25" customHeight="1" x14ac:dyDescent="0.2">
      <c r="A431" s="255"/>
      <c r="B431" s="259"/>
      <c r="C431" s="260"/>
      <c r="D431" s="73"/>
      <c r="E431" s="209"/>
      <c r="F431" s="209"/>
      <c r="G431" s="209"/>
      <c r="H431" s="209"/>
      <c r="I431" s="209"/>
      <c r="J431" s="209"/>
      <c r="K431" s="209"/>
      <c r="L431" s="209"/>
      <c r="M431" s="209"/>
      <c r="N431" s="209"/>
      <c r="O431" s="209"/>
      <c r="P431" s="209"/>
    </row>
    <row r="432" spans="1:16" ht="11.25" customHeight="1" x14ac:dyDescent="0.2">
      <c r="A432" s="255"/>
      <c r="B432" s="259"/>
      <c r="C432" s="260"/>
      <c r="D432" s="73"/>
      <c r="E432" s="209"/>
      <c r="F432" s="209"/>
      <c r="G432" s="209"/>
      <c r="H432" s="209"/>
      <c r="I432" s="209"/>
      <c r="J432" s="209"/>
      <c r="K432" s="209"/>
      <c r="L432" s="209"/>
      <c r="M432" s="209"/>
      <c r="N432" s="209"/>
      <c r="O432" s="209"/>
      <c r="P432" s="209"/>
    </row>
    <row r="433" spans="1:16" ht="11.25" customHeight="1" x14ac:dyDescent="0.2">
      <c r="A433" s="255"/>
      <c r="B433" s="259"/>
      <c r="C433" s="260"/>
      <c r="D433" s="73"/>
      <c r="E433" s="209"/>
      <c r="F433" s="209"/>
      <c r="G433" s="209"/>
      <c r="H433" s="209"/>
      <c r="I433" s="209"/>
      <c r="J433" s="209"/>
      <c r="K433" s="209"/>
      <c r="L433" s="209"/>
      <c r="M433" s="209"/>
      <c r="N433" s="209"/>
      <c r="O433" s="209"/>
      <c r="P433" s="209"/>
    </row>
    <row r="434" spans="1:16" ht="11.25" customHeight="1" x14ac:dyDescent="0.2">
      <c r="A434" s="255"/>
      <c r="B434" s="259"/>
      <c r="C434" s="260"/>
      <c r="D434" s="73"/>
      <c r="E434" s="209"/>
      <c r="F434" s="209"/>
      <c r="G434" s="209"/>
      <c r="H434" s="209"/>
      <c r="I434" s="209"/>
      <c r="J434" s="209"/>
      <c r="K434" s="209"/>
      <c r="L434" s="209"/>
      <c r="M434" s="209"/>
      <c r="N434" s="209"/>
      <c r="O434" s="209"/>
      <c r="P434" s="209"/>
    </row>
    <row r="435" spans="1:16" ht="11.25" customHeight="1" x14ac:dyDescent="0.2">
      <c r="A435" s="255"/>
      <c r="B435" s="259"/>
      <c r="C435" s="260"/>
      <c r="D435" s="73"/>
      <c r="E435" s="209"/>
      <c r="F435" s="209"/>
      <c r="G435" s="209"/>
      <c r="H435" s="209"/>
      <c r="I435" s="209"/>
      <c r="J435" s="209"/>
      <c r="K435" s="209"/>
      <c r="L435" s="209"/>
      <c r="M435" s="209"/>
      <c r="N435" s="209"/>
      <c r="O435" s="209"/>
      <c r="P435" s="209"/>
    </row>
    <row r="436" spans="1:16" ht="11.25" customHeight="1" x14ac:dyDescent="0.2">
      <c r="A436" s="255"/>
      <c r="B436" s="259"/>
      <c r="C436" s="260"/>
      <c r="D436" s="73"/>
      <c r="E436" s="209"/>
      <c r="F436" s="209"/>
      <c r="G436" s="209"/>
      <c r="H436" s="209"/>
      <c r="I436" s="209"/>
      <c r="J436" s="209"/>
      <c r="K436" s="209"/>
      <c r="L436" s="209"/>
      <c r="M436" s="209"/>
      <c r="N436" s="209"/>
      <c r="O436" s="209"/>
      <c r="P436" s="209"/>
    </row>
    <row r="437" spans="1:16" ht="11.25" customHeight="1" x14ac:dyDescent="0.2">
      <c r="A437" s="255"/>
      <c r="B437" s="259"/>
      <c r="C437" s="260"/>
      <c r="D437" s="73"/>
      <c r="E437" s="209"/>
      <c r="F437" s="209"/>
      <c r="G437" s="209"/>
      <c r="H437" s="209"/>
      <c r="I437" s="209"/>
      <c r="J437" s="209"/>
      <c r="K437" s="209"/>
      <c r="L437" s="209"/>
      <c r="M437" s="209"/>
      <c r="N437" s="209"/>
      <c r="O437" s="209"/>
      <c r="P437" s="209"/>
    </row>
    <row r="438" spans="1:16" ht="11.25" customHeight="1" x14ac:dyDescent="0.2">
      <c r="A438" s="255"/>
      <c r="B438" s="259"/>
      <c r="C438" s="260"/>
      <c r="D438" s="73"/>
      <c r="E438" s="209"/>
      <c r="F438" s="209"/>
      <c r="G438" s="209"/>
      <c r="H438" s="209"/>
      <c r="I438" s="209"/>
      <c r="J438" s="209"/>
      <c r="K438" s="209"/>
      <c r="L438" s="209"/>
      <c r="M438" s="209"/>
      <c r="N438" s="209"/>
      <c r="O438" s="209"/>
      <c r="P438" s="209"/>
    </row>
    <row r="439" spans="1:16" ht="11.25" customHeight="1" x14ac:dyDescent="0.2">
      <c r="A439" s="255"/>
      <c r="B439" s="259"/>
      <c r="C439" s="260"/>
      <c r="D439" s="73"/>
      <c r="E439" s="209"/>
      <c r="F439" s="209"/>
      <c r="G439" s="209"/>
      <c r="H439" s="209"/>
      <c r="I439" s="209"/>
      <c r="J439" s="209"/>
      <c r="K439" s="209"/>
      <c r="L439" s="209"/>
      <c r="M439" s="209"/>
      <c r="N439" s="209"/>
      <c r="O439" s="209"/>
      <c r="P439" s="209"/>
    </row>
    <row r="440" spans="1:16" ht="11.25" customHeight="1" x14ac:dyDescent="0.2">
      <c r="A440" s="255"/>
      <c r="B440" s="259"/>
      <c r="C440" s="260"/>
      <c r="D440" s="73"/>
      <c r="E440" s="209"/>
      <c r="F440" s="209"/>
      <c r="G440" s="209"/>
      <c r="H440" s="209"/>
      <c r="I440" s="209"/>
      <c r="J440" s="209"/>
      <c r="K440" s="209"/>
      <c r="L440" s="209"/>
      <c r="M440" s="209"/>
      <c r="N440" s="209"/>
      <c r="O440" s="209"/>
      <c r="P440" s="209"/>
    </row>
    <row r="441" spans="1:16" ht="11.25" customHeight="1" x14ac:dyDescent="0.2">
      <c r="A441" s="255"/>
      <c r="B441" s="259"/>
      <c r="C441" s="260"/>
      <c r="D441" s="73"/>
      <c r="E441" s="209"/>
      <c r="F441" s="209"/>
      <c r="G441" s="209"/>
      <c r="H441" s="209"/>
      <c r="I441" s="209"/>
      <c r="J441" s="209"/>
      <c r="K441" s="209"/>
      <c r="L441" s="209"/>
      <c r="M441" s="209"/>
      <c r="N441" s="209"/>
      <c r="O441" s="209"/>
      <c r="P441" s="209"/>
    </row>
    <row r="442" spans="1:16" ht="11.25" customHeight="1" x14ac:dyDescent="0.2">
      <c r="A442" s="255"/>
      <c r="B442" s="259"/>
      <c r="C442" s="260"/>
      <c r="D442" s="73"/>
      <c r="E442" s="209"/>
      <c r="F442" s="209"/>
      <c r="G442" s="209"/>
      <c r="H442" s="209"/>
      <c r="I442" s="209"/>
      <c r="J442" s="209"/>
      <c r="K442" s="209"/>
      <c r="L442" s="209"/>
      <c r="M442" s="209"/>
      <c r="N442" s="209"/>
      <c r="O442" s="209"/>
      <c r="P442" s="209"/>
    </row>
    <row r="443" spans="1:16" ht="11.25" customHeight="1" x14ac:dyDescent="0.2">
      <c r="A443" s="255"/>
      <c r="B443" s="259"/>
      <c r="C443" s="260"/>
      <c r="D443" s="73"/>
      <c r="E443" s="209"/>
      <c r="F443" s="209"/>
      <c r="G443" s="209"/>
      <c r="H443" s="209"/>
      <c r="I443" s="209"/>
      <c r="J443" s="209"/>
      <c r="K443" s="209"/>
      <c r="L443" s="209"/>
      <c r="M443" s="209"/>
      <c r="N443" s="209"/>
      <c r="O443" s="209"/>
      <c r="P443" s="209"/>
    </row>
    <row r="444" spans="1:16" ht="11.25" customHeight="1" x14ac:dyDescent="0.2">
      <c r="A444" s="255"/>
      <c r="B444" s="259"/>
      <c r="C444" s="260"/>
      <c r="D444" s="73"/>
      <c r="E444" s="209"/>
      <c r="F444" s="209"/>
      <c r="G444" s="209"/>
      <c r="H444" s="209"/>
      <c r="I444" s="209"/>
      <c r="J444" s="209"/>
      <c r="K444" s="209"/>
      <c r="L444" s="209"/>
      <c r="M444" s="209"/>
      <c r="N444" s="209"/>
      <c r="O444" s="209"/>
      <c r="P444" s="209"/>
    </row>
    <row r="445" spans="1:16" ht="11.25" customHeight="1" x14ac:dyDescent="0.2">
      <c r="A445" s="255"/>
      <c r="B445" s="259"/>
      <c r="C445" s="260"/>
      <c r="D445" s="73"/>
      <c r="E445" s="209"/>
      <c r="F445" s="209"/>
      <c r="G445" s="209"/>
      <c r="H445" s="209"/>
      <c r="I445" s="209"/>
      <c r="J445" s="209"/>
      <c r="K445" s="209"/>
      <c r="L445" s="209"/>
      <c r="M445" s="209"/>
      <c r="N445" s="209"/>
      <c r="O445" s="209"/>
      <c r="P445" s="209"/>
    </row>
    <row r="446" spans="1:16" ht="11.25" customHeight="1" x14ac:dyDescent="0.2">
      <c r="A446" s="255"/>
      <c r="B446" s="259"/>
      <c r="C446" s="260"/>
      <c r="D446" s="73"/>
      <c r="E446" s="209"/>
      <c r="F446" s="209"/>
      <c r="G446" s="209"/>
      <c r="H446" s="209"/>
      <c r="I446" s="209"/>
      <c r="J446" s="209"/>
      <c r="K446" s="209"/>
      <c r="L446" s="209"/>
      <c r="M446" s="209"/>
      <c r="N446" s="209"/>
      <c r="O446" s="209"/>
      <c r="P446" s="209"/>
    </row>
    <row r="447" spans="1:16" ht="11.25" customHeight="1" x14ac:dyDescent="0.2">
      <c r="A447" s="255"/>
      <c r="B447" s="259"/>
      <c r="C447" s="260"/>
      <c r="D447" s="73"/>
      <c r="E447" s="209"/>
      <c r="F447" s="209"/>
      <c r="G447" s="209"/>
      <c r="H447" s="209"/>
      <c r="I447" s="209"/>
      <c r="J447" s="209"/>
      <c r="K447" s="209"/>
      <c r="L447" s="209"/>
      <c r="M447" s="209"/>
      <c r="N447" s="209"/>
      <c r="O447" s="209"/>
      <c r="P447" s="209"/>
    </row>
    <row r="448" spans="1:16" ht="11.25" customHeight="1" x14ac:dyDescent="0.2">
      <c r="A448" s="255"/>
      <c r="B448" s="259"/>
      <c r="C448" s="260"/>
      <c r="D448" s="73"/>
      <c r="E448" s="209"/>
      <c r="F448" s="209"/>
      <c r="G448" s="209"/>
      <c r="H448" s="209"/>
      <c r="I448" s="209"/>
      <c r="J448" s="209"/>
      <c r="K448" s="209"/>
      <c r="L448" s="209"/>
      <c r="M448" s="209"/>
      <c r="N448" s="209"/>
      <c r="O448" s="209"/>
      <c r="P448" s="209"/>
    </row>
    <row r="449" spans="1:16" ht="11.25" customHeight="1" x14ac:dyDescent="0.2">
      <c r="A449" s="255"/>
      <c r="B449" s="259"/>
      <c r="C449" s="260"/>
      <c r="D449" s="73"/>
      <c r="E449" s="209"/>
      <c r="F449" s="209"/>
      <c r="G449" s="209"/>
      <c r="H449" s="209"/>
      <c r="I449" s="209"/>
      <c r="J449" s="209"/>
      <c r="K449" s="209"/>
      <c r="L449" s="209"/>
      <c r="M449" s="209"/>
      <c r="N449" s="209"/>
      <c r="O449" s="209"/>
      <c r="P449" s="209"/>
    </row>
    <row r="450" spans="1:16" ht="11.25" customHeight="1" x14ac:dyDescent="0.2">
      <c r="A450" s="255"/>
      <c r="B450" s="259"/>
      <c r="C450" s="260"/>
      <c r="D450" s="73"/>
      <c r="E450" s="209"/>
      <c r="F450" s="209"/>
      <c r="G450" s="209"/>
      <c r="H450" s="209"/>
      <c r="I450" s="209"/>
      <c r="J450" s="209"/>
      <c r="K450" s="209"/>
      <c r="L450" s="209"/>
      <c r="M450" s="209"/>
      <c r="N450" s="209"/>
      <c r="O450" s="209"/>
      <c r="P450" s="209"/>
    </row>
    <row r="451" spans="1:16" ht="11.25" customHeight="1" x14ac:dyDescent="0.2">
      <c r="A451" s="255"/>
      <c r="B451" s="259"/>
      <c r="C451" s="260"/>
      <c r="D451" s="73"/>
      <c r="E451" s="209"/>
      <c r="F451" s="209"/>
      <c r="G451" s="209"/>
      <c r="H451" s="209"/>
      <c r="I451" s="209"/>
      <c r="J451" s="209"/>
      <c r="K451" s="209"/>
      <c r="L451" s="209"/>
      <c r="M451" s="209"/>
      <c r="N451" s="209"/>
      <c r="O451" s="209"/>
      <c r="P451" s="209"/>
    </row>
    <row r="452" spans="1:16" ht="11.25" customHeight="1" x14ac:dyDescent="0.2">
      <c r="A452" s="255"/>
      <c r="B452" s="259"/>
      <c r="C452" s="260"/>
      <c r="D452" s="73"/>
      <c r="E452" s="209"/>
      <c r="F452" s="209"/>
      <c r="G452" s="209"/>
      <c r="H452" s="209"/>
      <c r="I452" s="209"/>
      <c r="J452" s="209"/>
      <c r="K452" s="209"/>
      <c r="L452" s="209"/>
      <c r="M452" s="209"/>
      <c r="N452" s="209"/>
      <c r="O452" s="209"/>
      <c r="P452" s="209"/>
    </row>
    <row r="453" spans="1:16" ht="11.25" customHeight="1" x14ac:dyDescent="0.2">
      <c r="A453" s="255"/>
      <c r="B453" s="259"/>
      <c r="C453" s="260"/>
      <c r="D453" s="73"/>
      <c r="E453" s="209"/>
      <c r="F453" s="209"/>
      <c r="G453" s="209"/>
      <c r="H453" s="209"/>
      <c r="I453" s="209"/>
      <c r="J453" s="209"/>
      <c r="K453" s="209"/>
      <c r="L453" s="209"/>
      <c r="M453" s="209"/>
      <c r="N453" s="209"/>
      <c r="O453" s="209"/>
      <c r="P453" s="209"/>
    </row>
    <row r="454" spans="1:16" ht="11.25" customHeight="1" x14ac:dyDescent="0.2">
      <c r="A454" s="255"/>
      <c r="B454" s="259"/>
      <c r="C454" s="260"/>
      <c r="D454" s="73"/>
      <c r="E454" s="209"/>
      <c r="F454" s="209"/>
      <c r="G454" s="209"/>
      <c r="H454" s="209"/>
      <c r="I454" s="209"/>
      <c r="J454" s="209"/>
      <c r="K454" s="209"/>
      <c r="L454" s="209"/>
      <c r="M454" s="209"/>
      <c r="N454" s="209"/>
      <c r="O454" s="209"/>
      <c r="P454" s="209"/>
    </row>
    <row r="455" spans="1:16" ht="11.25" customHeight="1" x14ac:dyDescent="0.2">
      <c r="A455" s="255"/>
      <c r="B455" s="259"/>
      <c r="C455" s="260"/>
      <c r="D455" s="73"/>
      <c r="E455" s="209"/>
      <c r="F455" s="209"/>
      <c r="G455" s="209"/>
      <c r="H455" s="209"/>
      <c r="I455" s="209"/>
      <c r="J455" s="209"/>
      <c r="K455" s="209"/>
      <c r="L455" s="209"/>
      <c r="M455" s="209"/>
      <c r="N455" s="209"/>
      <c r="O455" s="209"/>
      <c r="P455" s="209"/>
    </row>
    <row r="456" spans="1:16" ht="11.25" customHeight="1" x14ac:dyDescent="0.2">
      <c r="A456" s="255"/>
      <c r="B456" s="259"/>
      <c r="C456" s="260"/>
      <c r="D456" s="73"/>
      <c r="E456" s="209"/>
      <c r="F456" s="209"/>
      <c r="G456" s="209"/>
      <c r="H456" s="209"/>
      <c r="I456" s="209"/>
      <c r="J456" s="209"/>
      <c r="K456" s="209"/>
      <c r="L456" s="209"/>
      <c r="M456" s="209"/>
      <c r="N456" s="209"/>
      <c r="O456" s="209"/>
      <c r="P456" s="209"/>
    </row>
    <row r="457" spans="1:16" ht="11.25" customHeight="1" x14ac:dyDescent="0.2">
      <c r="A457" s="255"/>
      <c r="B457" s="259"/>
      <c r="C457" s="260"/>
      <c r="D457" s="73"/>
      <c r="E457" s="209"/>
      <c r="F457" s="209"/>
      <c r="G457" s="209"/>
      <c r="H457" s="209"/>
      <c r="I457" s="209"/>
      <c r="J457" s="209"/>
      <c r="K457" s="209"/>
      <c r="L457" s="209"/>
      <c r="M457" s="209"/>
      <c r="N457" s="209"/>
      <c r="O457" s="209"/>
      <c r="P457" s="209"/>
    </row>
    <row r="458" spans="1:16" ht="11.25" customHeight="1" x14ac:dyDescent="0.2">
      <c r="A458" s="255"/>
      <c r="B458" s="259"/>
      <c r="C458" s="260"/>
      <c r="D458" s="73"/>
      <c r="E458" s="209"/>
      <c r="F458" s="209"/>
      <c r="G458" s="209"/>
      <c r="H458" s="209"/>
      <c r="I458" s="209"/>
      <c r="J458" s="209"/>
      <c r="K458" s="209"/>
      <c r="L458" s="209"/>
      <c r="M458" s="209"/>
      <c r="N458" s="209"/>
      <c r="O458" s="209"/>
      <c r="P458" s="209"/>
    </row>
    <row r="459" spans="1:16" ht="11.25" customHeight="1" x14ac:dyDescent="0.2">
      <c r="A459" s="255"/>
      <c r="B459" s="259"/>
      <c r="C459" s="260"/>
      <c r="D459" s="73"/>
      <c r="E459" s="209"/>
      <c r="F459" s="209"/>
      <c r="G459" s="209"/>
      <c r="H459" s="209"/>
      <c r="I459" s="209"/>
      <c r="J459" s="209"/>
      <c r="K459" s="209"/>
      <c r="L459" s="209"/>
      <c r="M459" s="209"/>
      <c r="N459" s="209"/>
      <c r="O459" s="209"/>
      <c r="P459" s="209"/>
    </row>
    <row r="460" spans="1:16" ht="11.25" customHeight="1" x14ac:dyDescent="0.2">
      <c r="A460" s="255"/>
      <c r="B460" s="259"/>
      <c r="C460" s="260"/>
      <c r="D460" s="73"/>
      <c r="E460" s="209"/>
      <c r="F460" s="209"/>
      <c r="G460" s="209"/>
      <c r="H460" s="209"/>
      <c r="I460" s="209"/>
      <c r="J460" s="209"/>
      <c r="K460" s="209"/>
      <c r="L460" s="209"/>
      <c r="M460" s="209"/>
      <c r="N460" s="209"/>
      <c r="O460" s="209"/>
      <c r="P460" s="209"/>
    </row>
    <row r="461" spans="1:16" ht="11.25" customHeight="1" x14ac:dyDescent="0.2">
      <c r="A461" s="255"/>
      <c r="B461" s="259"/>
      <c r="C461" s="260"/>
      <c r="D461" s="73"/>
      <c r="E461" s="209"/>
      <c r="F461" s="209"/>
      <c r="G461" s="209"/>
      <c r="H461" s="209"/>
      <c r="I461" s="209"/>
      <c r="J461" s="209"/>
      <c r="K461" s="209"/>
      <c r="L461" s="209"/>
      <c r="M461" s="209"/>
      <c r="N461" s="209"/>
      <c r="O461" s="209"/>
      <c r="P461" s="209"/>
    </row>
    <row r="462" spans="1:16" ht="11.25" customHeight="1" x14ac:dyDescent="0.2">
      <c r="A462" s="255"/>
      <c r="B462" s="259"/>
      <c r="C462" s="260"/>
      <c r="D462" s="73"/>
      <c r="E462" s="209"/>
      <c r="F462" s="209"/>
      <c r="G462" s="209"/>
      <c r="H462" s="209"/>
      <c r="I462" s="209"/>
      <c r="J462" s="209"/>
      <c r="K462" s="209"/>
      <c r="L462" s="209"/>
      <c r="M462" s="209"/>
      <c r="N462" s="209"/>
      <c r="O462" s="209"/>
      <c r="P462" s="209"/>
    </row>
    <row r="463" spans="1:16" ht="11.25" customHeight="1" x14ac:dyDescent="0.2">
      <c r="A463" s="255"/>
      <c r="B463" s="259"/>
      <c r="C463" s="260"/>
      <c r="D463" s="73"/>
      <c r="E463" s="209"/>
      <c r="F463" s="209"/>
      <c r="G463" s="209"/>
      <c r="H463" s="209"/>
      <c r="I463" s="209"/>
      <c r="J463" s="209"/>
      <c r="K463" s="209"/>
      <c r="L463" s="209"/>
      <c r="M463" s="209"/>
      <c r="N463" s="209"/>
      <c r="O463" s="209"/>
      <c r="P463" s="209"/>
    </row>
    <row r="464" spans="1:16" ht="11.25" customHeight="1" x14ac:dyDescent="0.2">
      <c r="A464" s="255"/>
      <c r="B464" s="259"/>
      <c r="C464" s="260"/>
      <c r="D464" s="73"/>
      <c r="E464" s="209"/>
      <c r="F464" s="209"/>
      <c r="G464" s="209"/>
      <c r="H464" s="209"/>
      <c r="I464" s="209"/>
      <c r="J464" s="209"/>
      <c r="K464" s="209"/>
      <c r="L464" s="209"/>
      <c r="M464" s="209"/>
      <c r="N464" s="209"/>
      <c r="O464" s="209"/>
      <c r="P464" s="209"/>
    </row>
    <row r="465" spans="1:16" ht="11.25" customHeight="1" x14ac:dyDescent="0.2">
      <c r="A465" s="255"/>
      <c r="B465" s="259"/>
      <c r="C465" s="260"/>
      <c r="D465" s="73"/>
      <c r="E465" s="209"/>
      <c r="F465" s="209"/>
      <c r="G465" s="209"/>
      <c r="H465" s="209"/>
      <c r="I465" s="209"/>
      <c r="J465" s="209"/>
      <c r="K465" s="209"/>
      <c r="L465" s="209"/>
      <c r="M465" s="209"/>
      <c r="N465" s="209"/>
      <c r="O465" s="209"/>
      <c r="P465" s="209"/>
    </row>
    <row r="466" spans="1:16" ht="11.25" customHeight="1" x14ac:dyDescent="0.2">
      <c r="A466" s="255"/>
      <c r="B466" s="259"/>
      <c r="C466" s="260"/>
      <c r="D466" s="73"/>
      <c r="E466" s="209"/>
      <c r="F466" s="209"/>
      <c r="G466" s="209"/>
      <c r="H466" s="209"/>
      <c r="I466" s="209"/>
      <c r="J466" s="209"/>
      <c r="K466" s="209"/>
      <c r="L466" s="209"/>
      <c r="M466" s="209"/>
      <c r="N466" s="209"/>
      <c r="O466" s="209"/>
      <c r="P466" s="209"/>
    </row>
    <row r="467" spans="1:16" ht="11.25" customHeight="1" x14ac:dyDescent="0.2">
      <c r="A467" s="255"/>
      <c r="B467" s="259"/>
      <c r="C467" s="260"/>
      <c r="D467" s="73"/>
      <c r="E467" s="209"/>
      <c r="F467" s="209"/>
      <c r="G467" s="209"/>
      <c r="H467" s="209"/>
      <c r="I467" s="209"/>
      <c r="J467" s="209"/>
      <c r="K467" s="209"/>
      <c r="L467" s="209"/>
      <c r="M467" s="209"/>
      <c r="N467" s="209"/>
      <c r="O467" s="209"/>
      <c r="P467" s="209"/>
    </row>
    <row r="468" spans="1:16" ht="11.25" customHeight="1" x14ac:dyDescent="0.2">
      <c r="A468" s="255"/>
      <c r="B468" s="259"/>
      <c r="C468" s="260"/>
      <c r="D468" s="73"/>
      <c r="E468" s="209"/>
      <c r="F468" s="209"/>
      <c r="G468" s="209"/>
      <c r="H468" s="209"/>
      <c r="I468" s="209"/>
      <c r="J468" s="209"/>
      <c r="K468" s="209"/>
      <c r="L468" s="209"/>
      <c r="M468" s="209"/>
      <c r="N468" s="209"/>
      <c r="O468" s="209"/>
      <c r="P468" s="209"/>
    </row>
    <row r="469" spans="1:16" ht="11.25" customHeight="1" x14ac:dyDescent="0.2">
      <c r="A469" s="255"/>
      <c r="B469" s="259"/>
      <c r="C469" s="260"/>
      <c r="D469" s="73"/>
      <c r="E469" s="209"/>
      <c r="F469" s="209"/>
      <c r="G469" s="209"/>
      <c r="H469" s="209"/>
      <c r="I469" s="209"/>
      <c r="J469" s="209"/>
      <c r="K469" s="209"/>
      <c r="L469" s="209"/>
      <c r="M469" s="209"/>
      <c r="N469" s="209"/>
      <c r="O469" s="209"/>
      <c r="P469" s="209"/>
    </row>
    <row r="470" spans="1:16" ht="11.25" customHeight="1" x14ac:dyDescent="0.2">
      <c r="A470" s="255"/>
      <c r="B470" s="259"/>
      <c r="C470" s="260"/>
      <c r="D470" s="73"/>
      <c r="E470" s="209"/>
      <c r="F470" s="209"/>
      <c r="G470" s="209"/>
      <c r="H470" s="209"/>
      <c r="I470" s="209"/>
      <c r="J470" s="209"/>
      <c r="K470" s="209"/>
      <c r="L470" s="209"/>
      <c r="M470" s="209"/>
      <c r="N470" s="209"/>
      <c r="O470" s="209"/>
      <c r="P470" s="209"/>
    </row>
    <row r="471" spans="1:16" ht="11.25" customHeight="1" x14ac:dyDescent="0.2">
      <c r="A471" s="255"/>
      <c r="B471" s="259"/>
      <c r="C471" s="260"/>
      <c r="D471" s="73"/>
      <c r="E471" s="209"/>
      <c r="F471" s="209"/>
      <c r="G471" s="209"/>
      <c r="H471" s="209"/>
      <c r="I471" s="209"/>
      <c r="J471" s="209"/>
      <c r="K471" s="209"/>
      <c r="L471" s="209"/>
      <c r="M471" s="209"/>
      <c r="N471" s="209"/>
      <c r="O471" s="209"/>
      <c r="P471" s="209"/>
    </row>
    <row r="472" spans="1:16" ht="11.25" customHeight="1" x14ac:dyDescent="0.2">
      <c r="A472" s="255"/>
      <c r="B472" s="259"/>
      <c r="C472" s="260"/>
      <c r="D472" s="73"/>
      <c r="E472" s="209"/>
      <c r="F472" s="209"/>
      <c r="G472" s="209"/>
      <c r="H472" s="209"/>
      <c r="I472" s="209"/>
      <c r="J472" s="209"/>
      <c r="K472" s="209"/>
      <c r="L472" s="209"/>
      <c r="M472" s="209"/>
      <c r="N472" s="209"/>
      <c r="O472" s="209"/>
      <c r="P472" s="209"/>
    </row>
    <row r="473" spans="1:16" ht="11.25" customHeight="1" x14ac:dyDescent="0.2">
      <c r="A473" s="255"/>
      <c r="B473" s="259"/>
      <c r="C473" s="260"/>
      <c r="D473" s="73"/>
      <c r="E473" s="209"/>
      <c r="F473" s="209"/>
      <c r="G473" s="209"/>
      <c r="H473" s="209"/>
      <c r="I473" s="209"/>
      <c r="J473" s="209"/>
      <c r="K473" s="209"/>
      <c r="L473" s="209"/>
      <c r="M473" s="209"/>
      <c r="N473" s="209"/>
      <c r="O473" s="209"/>
      <c r="P473" s="209"/>
    </row>
    <row r="474" spans="1:16" ht="11.25" customHeight="1" x14ac:dyDescent="0.2">
      <c r="A474" s="255"/>
      <c r="B474" s="259"/>
      <c r="C474" s="260"/>
      <c r="D474" s="73"/>
      <c r="E474" s="209"/>
      <c r="F474" s="209"/>
      <c r="G474" s="209"/>
      <c r="H474" s="209"/>
      <c r="I474" s="209"/>
      <c r="J474" s="209"/>
      <c r="K474" s="209"/>
      <c r="L474" s="209"/>
      <c r="M474" s="209"/>
      <c r="N474" s="209"/>
      <c r="O474" s="209"/>
      <c r="P474" s="209"/>
    </row>
    <row r="475" spans="1:16" ht="11.25" customHeight="1" x14ac:dyDescent="0.2">
      <c r="A475" s="255"/>
      <c r="B475" s="259"/>
      <c r="C475" s="260"/>
      <c r="D475" s="73"/>
      <c r="E475" s="209"/>
      <c r="F475" s="209"/>
      <c r="G475" s="209"/>
      <c r="H475" s="209"/>
      <c r="I475" s="209"/>
      <c r="J475" s="209"/>
      <c r="K475" s="209"/>
      <c r="L475" s="209"/>
      <c r="M475" s="209"/>
      <c r="N475" s="209"/>
      <c r="O475" s="209"/>
      <c r="P475" s="209"/>
    </row>
    <row r="476" spans="1:16" ht="11.25" customHeight="1" x14ac:dyDescent="0.2">
      <c r="A476" s="255"/>
      <c r="B476" s="259"/>
      <c r="C476" s="260"/>
      <c r="D476" s="73"/>
      <c r="E476" s="209"/>
      <c r="F476" s="209"/>
      <c r="G476" s="209"/>
      <c r="H476" s="209"/>
      <c r="I476" s="209"/>
      <c r="J476" s="209"/>
      <c r="K476" s="209"/>
      <c r="L476" s="209"/>
      <c r="M476" s="209"/>
      <c r="N476" s="209"/>
      <c r="O476" s="209"/>
      <c r="P476" s="209"/>
    </row>
    <row r="477" spans="1:16" ht="11.25" customHeight="1" x14ac:dyDescent="0.2">
      <c r="A477" s="255"/>
      <c r="B477" s="259"/>
      <c r="C477" s="260"/>
      <c r="D477" s="73"/>
      <c r="E477" s="209"/>
      <c r="F477" s="209"/>
      <c r="G477" s="209"/>
      <c r="H477" s="209"/>
      <c r="I477" s="209"/>
      <c r="J477" s="209"/>
      <c r="K477" s="209"/>
      <c r="L477" s="209"/>
      <c r="M477" s="209"/>
      <c r="N477" s="209"/>
      <c r="O477" s="209"/>
      <c r="P477" s="209"/>
    </row>
    <row r="478" spans="1:16" ht="11.25" customHeight="1" x14ac:dyDescent="0.2">
      <c r="A478" s="255"/>
      <c r="B478" s="259"/>
      <c r="C478" s="260"/>
      <c r="D478" s="73"/>
      <c r="E478" s="209"/>
      <c r="F478" s="209"/>
      <c r="G478" s="209"/>
      <c r="H478" s="209"/>
      <c r="I478" s="209"/>
      <c r="J478" s="209"/>
      <c r="K478" s="209"/>
      <c r="L478" s="209"/>
      <c r="M478" s="209"/>
      <c r="N478" s="209"/>
      <c r="O478" s="209"/>
      <c r="P478" s="209"/>
    </row>
    <row r="479" spans="1:16" ht="11.25" customHeight="1" x14ac:dyDescent="0.2">
      <c r="A479" s="255"/>
      <c r="B479" s="259"/>
      <c r="C479" s="260"/>
      <c r="D479" s="73"/>
      <c r="E479" s="209"/>
      <c r="F479" s="209"/>
      <c r="G479" s="209"/>
      <c r="H479" s="209"/>
      <c r="I479" s="209"/>
      <c r="J479" s="209"/>
      <c r="K479" s="209"/>
      <c r="L479" s="209"/>
      <c r="M479" s="209"/>
      <c r="N479" s="209"/>
      <c r="O479" s="209"/>
      <c r="P479" s="209"/>
    </row>
    <row r="480" spans="1:16" ht="11.25" customHeight="1" x14ac:dyDescent="0.2">
      <c r="A480" s="255"/>
      <c r="B480" s="259"/>
      <c r="C480" s="260"/>
      <c r="D480" s="73"/>
      <c r="E480" s="209"/>
      <c r="F480" s="209"/>
      <c r="G480" s="209"/>
      <c r="H480" s="209"/>
      <c r="I480" s="209"/>
      <c r="J480" s="209"/>
      <c r="K480" s="209"/>
      <c r="L480" s="209"/>
      <c r="M480" s="209"/>
      <c r="N480" s="209"/>
      <c r="O480" s="209"/>
      <c r="P480" s="209"/>
    </row>
    <row r="481" spans="1:16" ht="11.25" customHeight="1" x14ac:dyDescent="0.2">
      <c r="A481" s="255"/>
      <c r="B481" s="259"/>
      <c r="C481" s="260"/>
      <c r="D481" s="73"/>
      <c r="E481" s="209"/>
      <c r="F481" s="209"/>
      <c r="G481" s="209"/>
      <c r="H481" s="209"/>
      <c r="I481" s="209"/>
      <c r="J481" s="209"/>
      <c r="K481" s="209"/>
      <c r="L481" s="209"/>
      <c r="M481" s="209"/>
      <c r="N481" s="209"/>
      <c r="O481" s="209"/>
      <c r="P481" s="209"/>
    </row>
    <row r="482" spans="1:16" ht="11.25" customHeight="1" x14ac:dyDescent="0.2">
      <c r="A482" s="255"/>
      <c r="B482" s="259"/>
      <c r="C482" s="260"/>
      <c r="D482" s="73"/>
      <c r="E482" s="209"/>
      <c r="F482" s="209"/>
      <c r="G482" s="209"/>
      <c r="H482" s="209"/>
      <c r="I482" s="209"/>
      <c r="J482" s="209"/>
      <c r="K482" s="209"/>
      <c r="L482" s="209"/>
      <c r="M482" s="209"/>
      <c r="N482" s="209"/>
      <c r="O482" s="209"/>
      <c r="P482" s="209"/>
    </row>
    <row r="483" spans="1:16" ht="11.25" customHeight="1" x14ac:dyDescent="0.2">
      <c r="A483" s="255"/>
      <c r="B483" s="259"/>
      <c r="C483" s="260"/>
      <c r="D483" s="73"/>
      <c r="E483" s="209"/>
      <c r="F483" s="209"/>
      <c r="G483" s="209"/>
      <c r="H483" s="209"/>
      <c r="I483" s="209"/>
      <c r="J483" s="209"/>
      <c r="K483" s="209"/>
      <c r="L483" s="209"/>
      <c r="M483" s="209"/>
      <c r="N483" s="209"/>
      <c r="O483" s="209"/>
      <c r="P483" s="209"/>
    </row>
    <row r="484" spans="1:16" ht="11.25" customHeight="1" x14ac:dyDescent="0.2">
      <c r="A484" s="255"/>
      <c r="B484" s="259"/>
      <c r="C484" s="260"/>
      <c r="D484" s="73"/>
      <c r="E484" s="209"/>
      <c r="F484" s="209"/>
      <c r="G484" s="209"/>
      <c r="H484" s="209"/>
      <c r="I484" s="209"/>
      <c r="J484" s="209"/>
      <c r="K484" s="209"/>
      <c r="L484" s="209"/>
      <c r="M484" s="209"/>
      <c r="N484" s="209"/>
      <c r="O484" s="209"/>
      <c r="P484" s="209"/>
    </row>
    <row r="485" spans="1:16" ht="11.25" customHeight="1" x14ac:dyDescent="0.2">
      <c r="A485" s="255"/>
      <c r="B485" s="259"/>
      <c r="C485" s="260"/>
      <c r="D485" s="73"/>
      <c r="E485" s="209"/>
      <c r="F485" s="209"/>
      <c r="G485" s="209"/>
      <c r="H485" s="209"/>
      <c r="I485" s="209"/>
      <c r="J485" s="209"/>
      <c r="K485" s="209"/>
      <c r="L485" s="209"/>
      <c r="M485" s="209"/>
      <c r="N485" s="209"/>
      <c r="O485" s="209"/>
      <c r="P485" s="209"/>
    </row>
    <row r="486" spans="1:16" ht="11.25" customHeight="1" x14ac:dyDescent="0.2">
      <c r="A486" s="255"/>
      <c r="B486" s="259"/>
      <c r="C486" s="260"/>
      <c r="D486" s="73"/>
      <c r="E486" s="209"/>
      <c r="F486" s="209"/>
      <c r="G486" s="209"/>
      <c r="H486" s="209"/>
      <c r="I486" s="209"/>
      <c r="J486" s="209"/>
      <c r="K486" s="209"/>
      <c r="L486" s="209"/>
      <c r="M486" s="209"/>
      <c r="N486" s="209"/>
      <c r="O486" s="209"/>
      <c r="P486" s="209"/>
    </row>
    <row r="487" spans="1:16" ht="11.25" customHeight="1" x14ac:dyDescent="0.2">
      <c r="A487" s="255"/>
      <c r="B487" s="259"/>
      <c r="C487" s="260"/>
      <c r="D487" s="73"/>
      <c r="E487" s="209"/>
      <c r="F487" s="209"/>
      <c r="G487" s="209"/>
      <c r="H487" s="209"/>
      <c r="I487" s="209"/>
      <c r="J487" s="209"/>
      <c r="K487" s="209"/>
      <c r="L487" s="209"/>
      <c r="M487" s="209"/>
      <c r="N487" s="209"/>
      <c r="O487" s="209"/>
      <c r="P487" s="209"/>
    </row>
    <row r="488" spans="1:16" ht="11.25" customHeight="1" x14ac:dyDescent="0.2">
      <c r="A488" s="255"/>
      <c r="B488" s="259"/>
      <c r="C488" s="260"/>
      <c r="D488" s="73"/>
      <c r="E488" s="209"/>
      <c r="F488" s="209"/>
      <c r="G488" s="209"/>
      <c r="H488" s="209"/>
      <c r="I488" s="209"/>
      <c r="J488" s="209"/>
      <c r="K488" s="209"/>
      <c r="L488" s="209"/>
      <c r="M488" s="209"/>
      <c r="N488" s="209"/>
      <c r="O488" s="209"/>
      <c r="P488" s="209"/>
    </row>
    <row r="489" spans="1:16" ht="11.25" customHeight="1" x14ac:dyDescent="0.2">
      <c r="A489" s="255"/>
      <c r="B489" s="259"/>
      <c r="C489" s="260"/>
      <c r="D489" s="73"/>
      <c r="E489" s="209"/>
      <c r="F489" s="209"/>
      <c r="G489" s="209"/>
      <c r="H489" s="209"/>
      <c r="I489" s="209"/>
      <c r="J489" s="209"/>
      <c r="K489" s="209"/>
      <c r="L489" s="209"/>
      <c r="M489" s="209"/>
      <c r="N489" s="209"/>
      <c r="O489" s="209"/>
      <c r="P489" s="209"/>
    </row>
    <row r="490" spans="1:16" ht="11.25" customHeight="1" x14ac:dyDescent="0.2">
      <c r="A490" s="255"/>
      <c r="B490" s="259"/>
      <c r="C490" s="260"/>
      <c r="D490" s="73"/>
      <c r="E490" s="209"/>
      <c r="F490" s="209"/>
      <c r="G490" s="209"/>
      <c r="H490" s="209"/>
      <c r="I490" s="209"/>
      <c r="J490" s="209"/>
      <c r="K490" s="209"/>
      <c r="L490" s="209"/>
      <c r="M490" s="209"/>
      <c r="N490" s="209"/>
      <c r="O490" s="209"/>
      <c r="P490" s="209"/>
    </row>
    <row r="491" spans="1:16" ht="11.25" customHeight="1" x14ac:dyDescent="0.2">
      <c r="A491" s="255"/>
      <c r="B491" s="259"/>
      <c r="C491" s="260"/>
      <c r="D491" s="73"/>
      <c r="E491" s="209"/>
      <c r="F491" s="209"/>
      <c r="G491" s="209"/>
      <c r="H491" s="209"/>
      <c r="I491" s="209"/>
      <c r="J491" s="209"/>
      <c r="K491" s="209"/>
      <c r="L491" s="209"/>
      <c r="M491" s="209"/>
      <c r="N491" s="209"/>
      <c r="O491" s="209"/>
      <c r="P491" s="209"/>
    </row>
    <row r="492" spans="1:16" ht="11.25" customHeight="1" x14ac:dyDescent="0.2">
      <c r="A492" s="255"/>
      <c r="B492" s="259"/>
      <c r="C492" s="260"/>
      <c r="D492" s="73"/>
      <c r="E492" s="209"/>
      <c r="F492" s="209"/>
      <c r="G492" s="209"/>
      <c r="H492" s="209"/>
      <c r="I492" s="209"/>
      <c r="J492" s="209"/>
      <c r="K492" s="209"/>
      <c r="L492" s="209"/>
      <c r="M492" s="209"/>
      <c r="N492" s="209"/>
      <c r="O492" s="209"/>
      <c r="P492" s="209"/>
    </row>
    <row r="493" spans="1:16" ht="11.25" customHeight="1" x14ac:dyDescent="0.2">
      <c r="A493" s="255"/>
      <c r="B493" s="259"/>
      <c r="C493" s="260"/>
      <c r="D493" s="73"/>
      <c r="E493" s="209"/>
      <c r="F493" s="209"/>
      <c r="G493" s="209"/>
      <c r="H493" s="209"/>
      <c r="I493" s="209"/>
      <c r="J493" s="209"/>
      <c r="K493" s="209"/>
      <c r="L493" s="209"/>
      <c r="M493" s="209"/>
      <c r="N493" s="209"/>
      <c r="O493" s="209"/>
      <c r="P493" s="209"/>
    </row>
    <row r="494" spans="1:16" ht="11.25" customHeight="1" x14ac:dyDescent="0.2">
      <c r="A494" s="255"/>
      <c r="B494" s="259"/>
      <c r="C494" s="260"/>
      <c r="D494" s="73"/>
      <c r="E494" s="209"/>
      <c r="F494" s="209"/>
      <c r="G494" s="209"/>
      <c r="H494" s="209"/>
      <c r="I494" s="209"/>
      <c r="J494" s="209"/>
      <c r="K494" s="209"/>
      <c r="L494" s="209"/>
      <c r="M494" s="209"/>
      <c r="N494" s="209"/>
      <c r="O494" s="209"/>
      <c r="P494" s="209"/>
    </row>
    <row r="495" spans="1:16" ht="11.25" customHeight="1" x14ac:dyDescent="0.2">
      <c r="A495" s="255"/>
      <c r="B495" s="259"/>
      <c r="C495" s="260"/>
      <c r="D495" s="73"/>
      <c r="E495" s="209"/>
      <c r="F495" s="209"/>
      <c r="G495" s="209"/>
      <c r="H495" s="209"/>
      <c r="I495" s="209"/>
      <c r="J495" s="209"/>
      <c r="K495" s="209"/>
      <c r="L495" s="209"/>
      <c r="M495" s="209"/>
      <c r="N495" s="209"/>
      <c r="O495" s="209"/>
      <c r="P495" s="209"/>
    </row>
    <row r="496" spans="1:16" ht="11.25" customHeight="1" x14ac:dyDescent="0.2">
      <c r="A496" s="255"/>
      <c r="B496" s="259"/>
      <c r="C496" s="260"/>
      <c r="D496" s="73"/>
      <c r="E496" s="209"/>
      <c r="F496" s="209"/>
      <c r="G496" s="209"/>
      <c r="H496" s="209"/>
      <c r="I496" s="209"/>
      <c r="J496" s="209"/>
      <c r="K496" s="209"/>
      <c r="L496" s="209"/>
      <c r="M496" s="209"/>
      <c r="N496" s="209"/>
      <c r="O496" s="209"/>
      <c r="P496" s="209"/>
    </row>
    <row r="497" spans="1:16" ht="11.25" customHeight="1" x14ac:dyDescent="0.2">
      <c r="A497" s="255"/>
      <c r="B497" s="259"/>
      <c r="C497" s="260"/>
      <c r="D497" s="73"/>
      <c r="E497" s="209"/>
      <c r="F497" s="209"/>
      <c r="G497" s="209"/>
      <c r="H497" s="209"/>
      <c r="I497" s="209"/>
      <c r="J497" s="209"/>
      <c r="K497" s="209"/>
      <c r="L497" s="209"/>
      <c r="M497" s="209"/>
      <c r="N497" s="209"/>
      <c r="O497" s="209"/>
      <c r="P497" s="209"/>
    </row>
    <row r="498" spans="1:16" ht="11.25" customHeight="1" x14ac:dyDescent="0.2">
      <c r="A498" s="255"/>
      <c r="B498" s="259"/>
      <c r="C498" s="260"/>
      <c r="D498" s="73"/>
      <c r="E498" s="209"/>
      <c r="F498" s="209"/>
      <c r="G498" s="209"/>
      <c r="H498" s="209"/>
      <c r="I498" s="209"/>
      <c r="J498" s="209"/>
      <c r="K498" s="209"/>
      <c r="L498" s="209"/>
      <c r="M498" s="209"/>
      <c r="N498" s="209"/>
      <c r="O498" s="209"/>
      <c r="P498" s="209"/>
    </row>
    <row r="499" spans="1:16" ht="11.25" customHeight="1" x14ac:dyDescent="0.2">
      <c r="A499" s="255"/>
      <c r="B499" s="259"/>
      <c r="C499" s="260"/>
      <c r="D499" s="73"/>
      <c r="E499" s="209"/>
      <c r="F499" s="209"/>
      <c r="G499" s="209"/>
      <c r="H499" s="209"/>
      <c r="I499" s="209"/>
      <c r="J499" s="209"/>
      <c r="K499" s="209"/>
      <c r="L499" s="209"/>
      <c r="M499" s="209"/>
      <c r="N499" s="209"/>
      <c r="O499" s="209"/>
      <c r="P499" s="209"/>
    </row>
    <row r="500" spans="1:16" ht="11.25" customHeight="1" x14ac:dyDescent="0.2">
      <c r="A500" s="255"/>
      <c r="B500" s="259"/>
      <c r="C500" s="260"/>
      <c r="D500" s="73"/>
      <c r="E500" s="209"/>
      <c r="F500" s="209"/>
      <c r="G500" s="209"/>
      <c r="H500" s="209"/>
      <c r="I500" s="209"/>
      <c r="J500" s="209"/>
      <c r="K500" s="209"/>
      <c r="L500" s="209"/>
      <c r="M500" s="209"/>
      <c r="N500" s="209"/>
      <c r="O500" s="209"/>
      <c r="P500" s="209"/>
    </row>
    <row r="501" spans="1:16" ht="11.25" customHeight="1" x14ac:dyDescent="0.2">
      <c r="A501" s="255"/>
      <c r="B501" s="259"/>
      <c r="C501" s="260"/>
      <c r="D501" s="73"/>
      <c r="E501" s="209"/>
      <c r="F501" s="209"/>
      <c r="G501" s="209"/>
      <c r="H501" s="209"/>
      <c r="I501" s="209"/>
      <c r="J501" s="209"/>
      <c r="K501" s="209"/>
      <c r="L501" s="209"/>
      <c r="M501" s="209"/>
      <c r="N501" s="209"/>
      <c r="O501" s="209"/>
      <c r="P501" s="209"/>
    </row>
    <row r="502" spans="1:16" ht="11.25" customHeight="1" x14ac:dyDescent="0.2">
      <c r="A502" s="255"/>
      <c r="B502" s="259"/>
      <c r="C502" s="260"/>
      <c r="D502" s="73"/>
      <c r="E502" s="209"/>
      <c r="F502" s="209"/>
      <c r="G502" s="209"/>
      <c r="H502" s="209"/>
      <c r="I502" s="209"/>
      <c r="J502" s="209"/>
      <c r="K502" s="209"/>
      <c r="L502" s="209"/>
      <c r="M502" s="209"/>
      <c r="N502" s="209"/>
      <c r="O502" s="209"/>
      <c r="P502" s="209"/>
    </row>
    <row r="503" spans="1:16" ht="11.25" customHeight="1" x14ac:dyDescent="0.2">
      <c r="A503" s="255"/>
      <c r="B503" s="259"/>
      <c r="C503" s="260"/>
      <c r="D503" s="73"/>
      <c r="E503" s="209"/>
      <c r="F503" s="209"/>
      <c r="G503" s="209"/>
      <c r="H503" s="209"/>
      <c r="I503" s="209"/>
      <c r="J503" s="209"/>
      <c r="K503" s="209"/>
      <c r="L503" s="209"/>
      <c r="M503" s="209"/>
      <c r="N503" s="209"/>
      <c r="O503" s="209"/>
      <c r="P503" s="209"/>
    </row>
    <row r="504" spans="1:16" ht="11.25" customHeight="1" x14ac:dyDescent="0.2">
      <c r="A504" s="255"/>
      <c r="B504" s="259"/>
      <c r="C504" s="260"/>
      <c r="D504" s="73"/>
      <c r="E504" s="209"/>
      <c r="F504" s="209"/>
      <c r="G504" s="209"/>
      <c r="H504" s="209"/>
      <c r="I504" s="209"/>
      <c r="J504" s="209"/>
      <c r="K504" s="209"/>
      <c r="L504" s="209"/>
      <c r="M504" s="209"/>
      <c r="N504" s="209"/>
      <c r="O504" s="209"/>
      <c r="P504" s="209"/>
    </row>
    <row r="505" spans="1:16" ht="11.25" customHeight="1" x14ac:dyDescent="0.2">
      <c r="A505" s="255"/>
      <c r="B505" s="259"/>
      <c r="C505" s="260"/>
      <c r="D505" s="73"/>
      <c r="E505" s="209"/>
      <c r="F505" s="209"/>
      <c r="G505" s="209"/>
      <c r="H505" s="209"/>
      <c r="I505" s="209"/>
      <c r="J505" s="209"/>
      <c r="K505" s="209"/>
      <c r="L505" s="209"/>
      <c r="M505" s="209"/>
      <c r="N505" s="209"/>
      <c r="O505" s="209"/>
      <c r="P505" s="209"/>
    </row>
    <row r="506" spans="1:16" ht="11.25" customHeight="1" x14ac:dyDescent="0.2">
      <c r="A506" s="255"/>
      <c r="B506" s="259"/>
      <c r="C506" s="260"/>
      <c r="D506" s="73"/>
      <c r="E506" s="209"/>
      <c r="F506" s="209"/>
      <c r="G506" s="209"/>
      <c r="H506" s="209"/>
      <c r="I506" s="209"/>
      <c r="J506" s="209"/>
      <c r="K506" s="209"/>
      <c r="L506" s="209"/>
      <c r="M506" s="209"/>
      <c r="N506" s="209"/>
      <c r="O506" s="209"/>
      <c r="P506" s="209"/>
    </row>
    <row r="507" spans="1:16" ht="11.25" customHeight="1" x14ac:dyDescent="0.2">
      <c r="A507" s="255"/>
      <c r="B507" s="259"/>
      <c r="C507" s="260"/>
      <c r="D507" s="73"/>
      <c r="E507" s="209"/>
      <c r="F507" s="209"/>
      <c r="G507" s="209"/>
      <c r="H507" s="209"/>
      <c r="I507" s="209"/>
      <c r="J507" s="209"/>
      <c r="K507" s="209"/>
      <c r="L507" s="209"/>
      <c r="M507" s="209"/>
      <c r="N507" s="209"/>
      <c r="O507" s="209"/>
      <c r="P507" s="209"/>
    </row>
    <row r="508" spans="1:16" ht="11.25" customHeight="1" x14ac:dyDescent="0.2">
      <c r="A508" s="255"/>
      <c r="B508" s="259"/>
      <c r="C508" s="260"/>
      <c r="D508" s="73"/>
      <c r="E508" s="209"/>
      <c r="F508" s="209"/>
      <c r="G508" s="209"/>
      <c r="H508" s="209"/>
      <c r="I508" s="209"/>
      <c r="J508" s="209"/>
      <c r="K508" s="209"/>
      <c r="L508" s="209"/>
      <c r="M508" s="209"/>
      <c r="N508" s="209"/>
      <c r="O508" s="209"/>
      <c r="P508" s="209"/>
    </row>
    <row r="509" spans="1:16" ht="11.25" customHeight="1" x14ac:dyDescent="0.2">
      <c r="A509" s="255"/>
      <c r="B509" s="259"/>
      <c r="C509" s="260"/>
      <c r="D509" s="73"/>
      <c r="E509" s="209"/>
      <c r="F509" s="209"/>
      <c r="G509" s="209"/>
      <c r="H509" s="209"/>
      <c r="I509" s="209"/>
      <c r="J509" s="209"/>
      <c r="K509" s="209"/>
      <c r="L509" s="209"/>
      <c r="M509" s="209"/>
      <c r="N509" s="209"/>
      <c r="O509" s="209"/>
      <c r="P509" s="209"/>
    </row>
    <row r="510" spans="1:16" ht="11.25" customHeight="1" x14ac:dyDescent="0.2">
      <c r="A510" s="255"/>
      <c r="B510" s="259"/>
      <c r="C510" s="260"/>
      <c r="D510" s="73"/>
      <c r="E510" s="209"/>
      <c r="F510" s="209"/>
      <c r="G510" s="209"/>
      <c r="H510" s="209"/>
      <c r="I510" s="209"/>
      <c r="J510" s="209"/>
      <c r="K510" s="209"/>
      <c r="L510" s="209"/>
      <c r="M510" s="209"/>
      <c r="N510" s="209"/>
      <c r="O510" s="209"/>
      <c r="P510" s="209"/>
    </row>
    <row r="511" spans="1:16" ht="11.25" customHeight="1" x14ac:dyDescent="0.2">
      <c r="A511" s="255"/>
      <c r="B511" s="259"/>
      <c r="C511" s="260"/>
      <c r="D511" s="73"/>
      <c r="E511" s="209"/>
      <c r="F511" s="209"/>
      <c r="G511" s="209"/>
      <c r="H511" s="209"/>
      <c r="I511" s="209"/>
      <c r="J511" s="209"/>
      <c r="K511" s="209"/>
      <c r="L511" s="209"/>
      <c r="M511" s="209"/>
      <c r="N511" s="209"/>
      <c r="O511" s="209"/>
      <c r="P511" s="209"/>
    </row>
    <row r="512" spans="1:16" ht="11.25" customHeight="1" x14ac:dyDescent="0.2">
      <c r="A512" s="255"/>
      <c r="B512" s="259"/>
      <c r="C512" s="260"/>
      <c r="D512" s="73"/>
      <c r="E512" s="209"/>
      <c r="F512" s="209"/>
      <c r="G512" s="209"/>
      <c r="H512" s="209"/>
      <c r="I512" s="209"/>
      <c r="J512" s="209"/>
      <c r="K512" s="209"/>
      <c r="L512" s="209"/>
      <c r="M512" s="209"/>
      <c r="N512" s="209"/>
      <c r="O512" s="209"/>
      <c r="P512" s="209"/>
    </row>
    <row r="513" spans="1:16" ht="11.25" customHeight="1" x14ac:dyDescent="0.2">
      <c r="A513" s="255"/>
      <c r="B513" s="259"/>
      <c r="C513" s="260"/>
      <c r="D513" s="73"/>
      <c r="E513" s="209"/>
      <c r="F513" s="209"/>
      <c r="G513" s="209"/>
      <c r="H513" s="209"/>
      <c r="I513" s="209"/>
      <c r="J513" s="209"/>
      <c r="K513" s="209"/>
      <c r="L513" s="209"/>
      <c r="M513" s="209"/>
      <c r="N513" s="209"/>
      <c r="O513" s="209"/>
      <c r="P513" s="209"/>
    </row>
    <row r="514" spans="1:16" ht="11.25" customHeight="1" x14ac:dyDescent="0.2">
      <c r="A514" s="255"/>
      <c r="B514" s="259"/>
      <c r="C514" s="260"/>
      <c r="D514" s="73"/>
      <c r="E514" s="209"/>
      <c r="F514" s="209"/>
      <c r="G514" s="209"/>
      <c r="H514" s="209"/>
      <c r="I514" s="209"/>
      <c r="J514" s="209"/>
      <c r="K514" s="209"/>
      <c r="L514" s="209"/>
      <c r="M514" s="209"/>
      <c r="N514" s="209"/>
      <c r="O514" s="209"/>
      <c r="P514" s="209"/>
    </row>
    <row r="515" spans="1:16" ht="11.25" customHeight="1" x14ac:dyDescent="0.2">
      <c r="A515" s="255"/>
      <c r="B515" s="259"/>
      <c r="C515" s="260"/>
      <c r="D515" s="73"/>
      <c r="E515" s="209"/>
      <c r="F515" s="209"/>
      <c r="G515" s="209"/>
      <c r="H515" s="209"/>
      <c r="I515" s="209"/>
      <c r="J515" s="209"/>
      <c r="K515" s="209"/>
      <c r="L515" s="209"/>
      <c r="M515" s="209"/>
      <c r="N515" s="209"/>
      <c r="O515" s="209"/>
      <c r="P515" s="209"/>
    </row>
    <row r="516" spans="1:16" ht="11.25" customHeight="1" x14ac:dyDescent="0.2">
      <c r="A516" s="255"/>
      <c r="B516" s="259"/>
      <c r="C516" s="260"/>
      <c r="D516" s="73"/>
      <c r="E516" s="209"/>
      <c r="F516" s="209"/>
      <c r="G516" s="209"/>
      <c r="H516" s="209"/>
      <c r="I516" s="209"/>
      <c r="J516" s="209"/>
      <c r="K516" s="209"/>
      <c r="L516" s="209"/>
      <c r="M516" s="209"/>
      <c r="N516" s="209"/>
      <c r="O516" s="209"/>
      <c r="P516" s="209"/>
    </row>
    <row r="517" spans="1:16" ht="11.25" customHeight="1" x14ac:dyDescent="0.2">
      <c r="A517" s="255"/>
      <c r="B517" s="259"/>
      <c r="C517" s="260"/>
      <c r="D517" s="73"/>
      <c r="E517" s="209"/>
      <c r="F517" s="209"/>
      <c r="G517" s="209"/>
      <c r="H517" s="209"/>
      <c r="I517" s="209"/>
      <c r="J517" s="209"/>
      <c r="K517" s="209"/>
      <c r="L517" s="209"/>
      <c r="M517" s="209"/>
      <c r="N517" s="209"/>
      <c r="O517" s="209"/>
      <c r="P517" s="209"/>
    </row>
    <row r="518" spans="1:16" ht="11.25" customHeight="1" x14ac:dyDescent="0.2">
      <c r="A518" s="255"/>
      <c r="B518" s="259"/>
      <c r="C518" s="260"/>
      <c r="D518" s="73"/>
      <c r="E518" s="209"/>
      <c r="F518" s="209"/>
      <c r="G518" s="209"/>
      <c r="H518" s="209"/>
      <c r="I518" s="209"/>
      <c r="J518" s="209"/>
      <c r="K518" s="209"/>
      <c r="L518" s="209"/>
      <c r="M518" s="209"/>
      <c r="N518" s="209"/>
      <c r="O518" s="209"/>
      <c r="P518" s="209"/>
    </row>
    <row r="519" spans="1:16" ht="11.25" customHeight="1" x14ac:dyDescent="0.2">
      <c r="A519" s="255"/>
      <c r="B519" s="259"/>
      <c r="C519" s="260"/>
      <c r="D519" s="73"/>
      <c r="E519" s="209"/>
      <c r="F519" s="209"/>
      <c r="G519" s="209"/>
      <c r="H519" s="209"/>
      <c r="I519" s="209"/>
      <c r="J519" s="209"/>
      <c r="K519" s="209"/>
      <c r="L519" s="209"/>
      <c r="M519" s="209"/>
      <c r="N519" s="209"/>
      <c r="O519" s="209"/>
      <c r="P519" s="209"/>
    </row>
    <row r="520" spans="1:16" ht="11.25" customHeight="1" x14ac:dyDescent="0.2">
      <c r="A520" s="255"/>
      <c r="B520" s="259"/>
      <c r="C520" s="260"/>
      <c r="D520" s="73"/>
      <c r="E520" s="209"/>
      <c r="F520" s="209"/>
      <c r="G520" s="209"/>
      <c r="H520" s="209"/>
      <c r="I520" s="209"/>
      <c r="J520" s="209"/>
      <c r="K520" s="209"/>
      <c r="L520" s="209"/>
      <c r="M520" s="209"/>
      <c r="N520" s="209"/>
      <c r="O520" s="209"/>
      <c r="P520" s="209"/>
    </row>
    <row r="521" spans="1:16" ht="11.25" customHeight="1" x14ac:dyDescent="0.2">
      <c r="A521" s="255"/>
      <c r="B521" s="259"/>
      <c r="C521" s="260"/>
      <c r="D521" s="73"/>
      <c r="E521" s="209"/>
      <c r="F521" s="209"/>
      <c r="G521" s="209"/>
      <c r="H521" s="209"/>
      <c r="I521" s="209"/>
      <c r="J521" s="209"/>
      <c r="K521" s="209"/>
      <c r="L521" s="209"/>
      <c r="M521" s="209"/>
      <c r="N521" s="209"/>
      <c r="O521" s="209"/>
      <c r="P521" s="209"/>
    </row>
    <row r="522" spans="1:16" ht="11.25" customHeight="1" x14ac:dyDescent="0.2">
      <c r="A522" s="255"/>
      <c r="B522" s="259"/>
      <c r="C522" s="260"/>
      <c r="D522" s="73"/>
      <c r="E522" s="209"/>
      <c r="F522" s="209"/>
      <c r="G522" s="209"/>
      <c r="H522" s="209"/>
      <c r="I522" s="209"/>
      <c r="J522" s="209"/>
      <c r="K522" s="209"/>
      <c r="L522" s="209"/>
      <c r="M522" s="209"/>
      <c r="N522" s="209"/>
      <c r="O522" s="209"/>
      <c r="P522" s="209"/>
    </row>
    <row r="523" spans="1:16" ht="11.25" customHeight="1" x14ac:dyDescent="0.2">
      <c r="A523" s="255"/>
      <c r="B523" s="259"/>
      <c r="C523" s="260"/>
      <c r="D523" s="73"/>
      <c r="E523" s="209"/>
      <c r="F523" s="209"/>
      <c r="G523" s="209"/>
      <c r="H523" s="209"/>
      <c r="I523" s="209"/>
      <c r="J523" s="209"/>
      <c r="K523" s="209"/>
      <c r="L523" s="209"/>
      <c r="M523" s="209"/>
      <c r="N523" s="209"/>
      <c r="O523" s="209"/>
      <c r="P523" s="209"/>
    </row>
    <row r="524" spans="1:16" ht="11.25" customHeight="1" x14ac:dyDescent="0.2">
      <c r="A524" s="255"/>
      <c r="B524" s="259"/>
      <c r="C524" s="260"/>
      <c r="D524" s="73"/>
      <c r="E524" s="209"/>
      <c r="F524" s="209"/>
      <c r="G524" s="209"/>
      <c r="H524" s="209"/>
      <c r="I524" s="209"/>
      <c r="J524" s="209"/>
      <c r="K524" s="209"/>
      <c r="L524" s="209"/>
      <c r="M524" s="209"/>
      <c r="N524" s="209"/>
      <c r="O524" s="209"/>
      <c r="P524" s="209"/>
    </row>
    <row r="525" spans="1:16" ht="11.25" customHeight="1" x14ac:dyDescent="0.2">
      <c r="A525" s="255"/>
      <c r="B525" s="259"/>
      <c r="C525" s="260"/>
      <c r="D525" s="73"/>
      <c r="E525" s="209"/>
      <c r="F525" s="209"/>
      <c r="G525" s="209"/>
      <c r="H525" s="209"/>
      <c r="I525" s="209"/>
      <c r="J525" s="209"/>
      <c r="K525" s="209"/>
      <c r="L525" s="209"/>
      <c r="M525" s="209"/>
      <c r="N525" s="209"/>
      <c r="O525" s="209"/>
      <c r="P525" s="209"/>
    </row>
    <row r="526" spans="1:16" ht="11.25" customHeight="1" x14ac:dyDescent="0.2">
      <c r="A526" s="255"/>
      <c r="B526" s="259"/>
      <c r="C526" s="260"/>
      <c r="D526" s="73"/>
      <c r="E526" s="209"/>
      <c r="F526" s="209"/>
      <c r="G526" s="209"/>
      <c r="H526" s="209"/>
      <c r="I526" s="209"/>
      <c r="J526" s="209"/>
      <c r="K526" s="209"/>
      <c r="L526" s="209"/>
      <c r="M526" s="209"/>
      <c r="N526" s="209"/>
      <c r="O526" s="209"/>
      <c r="P526" s="209"/>
    </row>
    <row r="527" spans="1:16" ht="11.25" customHeight="1" x14ac:dyDescent="0.2">
      <c r="A527" s="255"/>
      <c r="B527" s="259"/>
      <c r="C527" s="260"/>
      <c r="D527" s="73"/>
      <c r="E527" s="209"/>
      <c r="F527" s="209"/>
      <c r="G527" s="209"/>
      <c r="H527" s="209"/>
      <c r="I527" s="209"/>
      <c r="J527" s="209"/>
      <c r="K527" s="209"/>
      <c r="L527" s="209"/>
      <c r="M527" s="209"/>
      <c r="N527" s="209"/>
      <c r="O527" s="209"/>
      <c r="P527" s="209"/>
    </row>
    <row r="528" spans="1:16" ht="11.25" customHeight="1" x14ac:dyDescent="0.2">
      <c r="A528" s="255"/>
      <c r="B528" s="259"/>
      <c r="C528" s="260"/>
      <c r="D528" s="73"/>
      <c r="E528" s="209"/>
      <c r="F528" s="209"/>
      <c r="G528" s="209"/>
      <c r="H528" s="209"/>
      <c r="I528" s="209"/>
      <c r="J528" s="209"/>
      <c r="K528" s="209"/>
      <c r="L528" s="209"/>
      <c r="M528" s="209"/>
      <c r="N528" s="209"/>
      <c r="O528" s="209"/>
      <c r="P528" s="209"/>
    </row>
    <row r="529" spans="1:16" ht="11.25" customHeight="1" x14ac:dyDescent="0.2">
      <c r="A529" s="255"/>
      <c r="B529" s="259"/>
      <c r="C529" s="260"/>
      <c r="D529" s="73"/>
      <c r="E529" s="209"/>
      <c r="F529" s="209"/>
      <c r="G529" s="209"/>
      <c r="H529" s="209"/>
      <c r="I529" s="209"/>
      <c r="J529" s="209"/>
      <c r="K529" s="209"/>
      <c r="L529" s="209"/>
      <c r="M529" s="209"/>
      <c r="N529" s="209"/>
      <c r="O529" s="209"/>
      <c r="P529" s="209"/>
    </row>
    <row r="530" spans="1:16" ht="11.25" customHeight="1" x14ac:dyDescent="0.2">
      <c r="A530" s="255"/>
      <c r="B530" s="259"/>
      <c r="C530" s="260"/>
      <c r="D530" s="73"/>
      <c r="E530" s="209"/>
      <c r="F530" s="209"/>
      <c r="G530" s="209"/>
      <c r="H530" s="209"/>
      <c r="I530" s="209"/>
      <c r="J530" s="209"/>
      <c r="K530" s="209"/>
      <c r="L530" s="209"/>
      <c r="M530" s="209"/>
      <c r="N530" s="209"/>
      <c r="O530" s="209"/>
      <c r="P530" s="209"/>
    </row>
    <row r="531" spans="1:16" ht="11.25" customHeight="1" x14ac:dyDescent="0.2">
      <c r="A531" s="255"/>
      <c r="B531" s="259"/>
      <c r="C531" s="260"/>
      <c r="D531" s="73"/>
      <c r="E531" s="209"/>
      <c r="F531" s="209"/>
      <c r="G531" s="209"/>
      <c r="H531" s="209"/>
      <c r="I531" s="209"/>
      <c r="J531" s="209"/>
      <c r="K531" s="209"/>
      <c r="L531" s="209"/>
      <c r="M531" s="209"/>
      <c r="N531" s="209"/>
      <c r="O531" s="209"/>
      <c r="P531" s="209"/>
    </row>
    <row r="532" spans="1:16" ht="11.25" customHeight="1" x14ac:dyDescent="0.2">
      <c r="A532" s="255"/>
      <c r="B532" s="259"/>
      <c r="C532" s="260"/>
      <c r="D532" s="73"/>
      <c r="E532" s="209"/>
      <c r="F532" s="209"/>
      <c r="G532" s="209"/>
      <c r="H532" s="209"/>
      <c r="I532" s="209"/>
      <c r="J532" s="209"/>
      <c r="K532" s="209"/>
      <c r="L532" s="209"/>
      <c r="M532" s="209"/>
      <c r="N532" s="209"/>
      <c r="O532" s="209"/>
      <c r="P532" s="209"/>
    </row>
    <row r="533" spans="1:16" ht="11.25" customHeight="1" x14ac:dyDescent="0.2">
      <c r="A533" s="255"/>
      <c r="B533" s="259"/>
      <c r="C533" s="260"/>
      <c r="D533" s="73"/>
      <c r="E533" s="209"/>
      <c r="F533" s="209"/>
      <c r="G533" s="209"/>
      <c r="H533" s="209"/>
      <c r="I533" s="209"/>
      <c r="J533" s="209"/>
      <c r="K533" s="209"/>
      <c r="L533" s="209"/>
      <c r="M533" s="209"/>
      <c r="N533" s="209"/>
      <c r="O533" s="209"/>
      <c r="P533" s="209"/>
    </row>
    <row r="534" spans="1:16" ht="11.25" customHeight="1" x14ac:dyDescent="0.2">
      <c r="A534" s="255"/>
      <c r="B534" s="259"/>
      <c r="C534" s="260"/>
      <c r="D534" s="73"/>
      <c r="E534" s="209"/>
      <c r="F534" s="209"/>
      <c r="G534" s="209"/>
      <c r="H534" s="209"/>
      <c r="I534" s="209"/>
      <c r="J534" s="209"/>
      <c r="K534" s="209"/>
      <c r="L534" s="209"/>
      <c r="M534" s="209"/>
      <c r="N534" s="209"/>
      <c r="O534" s="209"/>
      <c r="P534" s="209"/>
    </row>
    <row r="535" spans="1:16" ht="11.25" customHeight="1" x14ac:dyDescent="0.2">
      <c r="A535" s="255"/>
      <c r="B535" s="259"/>
      <c r="C535" s="260"/>
      <c r="D535" s="73"/>
      <c r="E535" s="209"/>
      <c r="F535" s="209"/>
      <c r="G535" s="209"/>
      <c r="H535" s="209"/>
      <c r="I535" s="209"/>
      <c r="J535" s="209"/>
      <c r="K535" s="209"/>
      <c r="L535" s="209"/>
      <c r="M535" s="209"/>
      <c r="N535" s="209"/>
      <c r="O535" s="209"/>
      <c r="P535" s="209"/>
    </row>
    <row r="536" spans="1:16" ht="11.25" customHeight="1" x14ac:dyDescent="0.2">
      <c r="A536" s="255"/>
      <c r="B536" s="259"/>
      <c r="C536" s="260"/>
      <c r="D536" s="73"/>
      <c r="E536" s="209"/>
      <c r="F536" s="209"/>
      <c r="G536" s="209"/>
      <c r="H536" s="209"/>
      <c r="I536" s="209"/>
      <c r="J536" s="209"/>
      <c r="K536" s="209"/>
      <c r="L536" s="209"/>
      <c r="M536" s="209"/>
      <c r="N536" s="209"/>
      <c r="O536" s="209"/>
      <c r="P536" s="209"/>
    </row>
    <row r="537" spans="1:16" ht="11.25" customHeight="1" x14ac:dyDescent="0.2">
      <c r="A537" s="255"/>
      <c r="B537" s="259"/>
      <c r="C537" s="260"/>
      <c r="D537" s="73"/>
      <c r="E537" s="209"/>
      <c r="F537" s="209"/>
      <c r="G537" s="209"/>
      <c r="H537" s="209"/>
      <c r="I537" s="209"/>
      <c r="J537" s="209"/>
      <c r="K537" s="209"/>
      <c r="L537" s="209"/>
      <c r="M537" s="209"/>
      <c r="N537" s="209"/>
      <c r="O537" s="209"/>
      <c r="P537" s="209"/>
    </row>
    <row r="538" spans="1:16" ht="11.25" customHeight="1" x14ac:dyDescent="0.2">
      <c r="A538" s="255"/>
      <c r="B538" s="259"/>
      <c r="C538" s="260"/>
      <c r="D538" s="73"/>
      <c r="E538" s="209"/>
      <c r="F538" s="209"/>
      <c r="G538" s="209"/>
      <c r="H538" s="209"/>
      <c r="I538" s="209"/>
      <c r="J538" s="209"/>
      <c r="K538" s="209"/>
      <c r="L538" s="209"/>
      <c r="M538" s="209"/>
      <c r="N538" s="209"/>
      <c r="O538" s="209"/>
      <c r="P538" s="209"/>
    </row>
    <row r="539" spans="1:16" ht="11.25" customHeight="1" x14ac:dyDescent="0.2">
      <c r="A539" s="255"/>
      <c r="B539" s="259"/>
      <c r="C539" s="260"/>
      <c r="D539" s="73"/>
      <c r="E539" s="209"/>
      <c r="F539" s="209"/>
      <c r="G539" s="209"/>
      <c r="H539" s="209"/>
      <c r="I539" s="209"/>
      <c r="J539" s="209"/>
      <c r="K539" s="209"/>
      <c r="L539" s="209"/>
      <c r="M539" s="209"/>
      <c r="N539" s="209"/>
      <c r="O539" s="209"/>
      <c r="P539" s="209"/>
    </row>
    <row r="540" spans="1:16" ht="11.25" customHeight="1" x14ac:dyDescent="0.2">
      <c r="A540" s="255"/>
      <c r="B540" s="259"/>
      <c r="C540" s="260"/>
      <c r="D540" s="73"/>
      <c r="E540" s="209"/>
      <c r="F540" s="209"/>
      <c r="G540" s="209"/>
      <c r="H540" s="209"/>
      <c r="I540" s="209"/>
      <c r="J540" s="209"/>
      <c r="K540" s="209"/>
      <c r="L540" s="209"/>
      <c r="M540" s="209"/>
      <c r="N540" s="209"/>
      <c r="O540" s="209"/>
      <c r="P540" s="209"/>
    </row>
    <row r="541" spans="1:16" ht="11.25" customHeight="1" x14ac:dyDescent="0.2">
      <c r="A541" s="255"/>
      <c r="B541" s="259"/>
      <c r="C541" s="260"/>
      <c r="D541" s="73"/>
      <c r="E541" s="209"/>
      <c r="F541" s="209"/>
      <c r="G541" s="209"/>
      <c r="H541" s="209"/>
      <c r="I541" s="209"/>
      <c r="J541" s="209"/>
      <c r="K541" s="209"/>
      <c r="L541" s="209"/>
      <c r="M541" s="209"/>
      <c r="N541" s="209"/>
      <c r="O541" s="209"/>
      <c r="P541" s="209"/>
    </row>
    <row r="542" spans="1:16" ht="11.25" customHeight="1" x14ac:dyDescent="0.2">
      <c r="A542" s="255"/>
      <c r="B542" s="259"/>
      <c r="C542" s="260"/>
      <c r="D542" s="73"/>
      <c r="E542" s="209"/>
      <c r="F542" s="209"/>
      <c r="G542" s="209"/>
      <c r="H542" s="209"/>
      <c r="I542" s="209"/>
      <c r="J542" s="209"/>
      <c r="K542" s="209"/>
      <c r="L542" s="209"/>
      <c r="M542" s="209"/>
      <c r="N542" s="209"/>
      <c r="O542" s="209"/>
      <c r="P542" s="209"/>
    </row>
    <row r="543" spans="1:16" ht="11.25" customHeight="1" x14ac:dyDescent="0.2">
      <c r="A543" s="255"/>
      <c r="B543" s="259"/>
      <c r="C543" s="260"/>
      <c r="D543" s="73"/>
      <c r="E543" s="209"/>
      <c r="F543" s="209"/>
      <c r="G543" s="209"/>
      <c r="H543" s="209"/>
      <c r="I543" s="209"/>
      <c r="J543" s="209"/>
      <c r="K543" s="209"/>
      <c r="L543" s="209"/>
      <c r="M543" s="209"/>
      <c r="N543" s="209"/>
      <c r="O543" s="209"/>
      <c r="P543" s="209"/>
    </row>
    <row r="544" spans="1:16" ht="11.25" customHeight="1" x14ac:dyDescent="0.2">
      <c r="A544" s="255"/>
      <c r="B544" s="259"/>
      <c r="C544" s="260"/>
      <c r="D544" s="73"/>
      <c r="E544" s="209"/>
      <c r="F544" s="209"/>
      <c r="G544" s="209"/>
      <c r="H544" s="209"/>
      <c r="I544" s="209"/>
      <c r="J544" s="209"/>
      <c r="K544" s="209"/>
      <c r="L544" s="209"/>
      <c r="M544" s="209"/>
      <c r="N544" s="209"/>
      <c r="O544" s="209"/>
      <c r="P544" s="209"/>
    </row>
    <row r="545" spans="1:16" ht="11.25" customHeight="1" x14ac:dyDescent="0.2">
      <c r="A545" s="255"/>
      <c r="B545" s="259"/>
      <c r="C545" s="260"/>
      <c r="D545" s="73"/>
      <c r="E545" s="209"/>
      <c r="F545" s="209"/>
      <c r="G545" s="209"/>
      <c r="H545" s="209"/>
      <c r="I545" s="209"/>
      <c r="J545" s="209"/>
      <c r="K545" s="209"/>
      <c r="L545" s="209"/>
      <c r="M545" s="209"/>
      <c r="N545" s="209"/>
      <c r="O545" s="209"/>
      <c r="P545" s="209"/>
    </row>
    <row r="546" spans="1:16" ht="11.25" customHeight="1" x14ac:dyDescent="0.2">
      <c r="A546" s="255"/>
      <c r="B546" s="259"/>
      <c r="C546" s="260"/>
      <c r="D546" s="73"/>
      <c r="E546" s="209"/>
      <c r="F546" s="209"/>
      <c r="G546" s="209"/>
      <c r="H546" s="209"/>
      <c r="I546" s="209"/>
      <c r="J546" s="209"/>
      <c r="K546" s="209"/>
      <c r="L546" s="209"/>
      <c r="M546" s="209"/>
      <c r="N546" s="209"/>
      <c r="O546" s="209"/>
      <c r="P546" s="209"/>
    </row>
    <row r="547" spans="1:16" ht="11.25" customHeight="1" x14ac:dyDescent="0.2">
      <c r="A547" s="255"/>
      <c r="B547" s="259"/>
      <c r="C547" s="260"/>
      <c r="D547" s="73"/>
      <c r="E547" s="209"/>
      <c r="F547" s="209"/>
      <c r="G547" s="209"/>
      <c r="H547" s="209"/>
      <c r="I547" s="209"/>
      <c r="J547" s="209"/>
      <c r="K547" s="209"/>
      <c r="L547" s="209"/>
      <c r="M547" s="209"/>
      <c r="N547" s="209"/>
      <c r="O547" s="209"/>
      <c r="P547" s="209"/>
    </row>
    <row r="548" spans="1:16" ht="11.25" customHeight="1" x14ac:dyDescent="0.2">
      <c r="A548" s="255"/>
      <c r="B548" s="259"/>
      <c r="C548" s="260"/>
      <c r="D548" s="73"/>
      <c r="E548" s="209"/>
      <c r="F548" s="209"/>
      <c r="G548" s="209"/>
      <c r="H548" s="209"/>
      <c r="I548" s="209"/>
      <c r="J548" s="209"/>
      <c r="K548" s="209"/>
      <c r="L548" s="209"/>
      <c r="M548" s="209"/>
      <c r="N548" s="209"/>
      <c r="O548" s="209"/>
      <c r="P548" s="209"/>
    </row>
    <row r="549" spans="1:16" ht="11.25" customHeight="1" x14ac:dyDescent="0.2">
      <c r="A549" s="255"/>
      <c r="B549" s="259"/>
      <c r="C549" s="260"/>
      <c r="D549" s="73"/>
      <c r="E549" s="209"/>
      <c r="F549" s="209"/>
      <c r="G549" s="209"/>
      <c r="H549" s="209"/>
      <c r="I549" s="209"/>
      <c r="J549" s="209"/>
      <c r="K549" s="209"/>
      <c r="L549" s="209"/>
      <c r="M549" s="209"/>
      <c r="N549" s="209"/>
      <c r="O549" s="209"/>
      <c r="P549" s="209"/>
    </row>
    <row r="550" spans="1:16" ht="11.25" customHeight="1" x14ac:dyDescent="0.2">
      <c r="A550" s="255"/>
      <c r="B550" s="259"/>
      <c r="C550" s="260"/>
      <c r="D550" s="73"/>
      <c r="E550" s="209"/>
      <c r="F550" s="209"/>
      <c r="G550" s="209"/>
      <c r="H550" s="209"/>
      <c r="I550" s="209"/>
      <c r="J550" s="209"/>
      <c r="K550" s="209"/>
      <c r="L550" s="209"/>
      <c r="M550" s="209"/>
      <c r="N550" s="209"/>
      <c r="O550" s="209"/>
      <c r="P550" s="209"/>
    </row>
    <row r="551" spans="1:16" ht="11.25" customHeight="1" x14ac:dyDescent="0.2">
      <c r="A551" s="255"/>
      <c r="B551" s="259"/>
      <c r="C551" s="260"/>
      <c r="D551" s="73"/>
      <c r="E551" s="209"/>
      <c r="F551" s="209"/>
      <c r="G551" s="209"/>
      <c r="H551" s="209"/>
      <c r="I551" s="209"/>
      <c r="J551" s="209"/>
      <c r="K551" s="209"/>
      <c r="L551" s="209"/>
      <c r="M551" s="209"/>
      <c r="N551" s="209"/>
      <c r="O551" s="209"/>
      <c r="P551" s="209"/>
    </row>
    <row r="552" spans="1:16" ht="11.25" customHeight="1" x14ac:dyDescent="0.2">
      <c r="A552" s="255"/>
      <c r="B552" s="259"/>
      <c r="C552" s="260"/>
      <c r="D552" s="73"/>
      <c r="E552" s="209"/>
      <c r="F552" s="209"/>
      <c r="G552" s="209"/>
      <c r="H552" s="209"/>
      <c r="I552" s="209"/>
      <c r="J552" s="209"/>
      <c r="K552" s="209"/>
      <c r="L552" s="209"/>
      <c r="M552" s="209"/>
      <c r="N552" s="209"/>
      <c r="O552" s="209"/>
      <c r="P552" s="209"/>
    </row>
    <row r="553" spans="1:16" ht="11.25" customHeight="1" x14ac:dyDescent="0.2">
      <c r="A553" s="255"/>
      <c r="B553" s="259"/>
      <c r="C553" s="260"/>
      <c r="D553" s="73"/>
      <c r="E553" s="209"/>
      <c r="F553" s="209"/>
      <c r="G553" s="209"/>
      <c r="H553" s="209"/>
      <c r="I553" s="209"/>
      <c r="J553" s="209"/>
      <c r="K553" s="209"/>
      <c r="L553" s="209"/>
      <c r="M553" s="209"/>
      <c r="N553" s="209"/>
      <c r="O553" s="209"/>
      <c r="P553" s="209"/>
    </row>
    <row r="554" spans="1:16" ht="11.25" customHeight="1" x14ac:dyDescent="0.2">
      <c r="A554" s="255"/>
      <c r="B554" s="259"/>
      <c r="C554" s="260"/>
      <c r="D554" s="73"/>
      <c r="E554" s="209"/>
      <c r="F554" s="209"/>
      <c r="G554" s="209"/>
      <c r="H554" s="209"/>
      <c r="I554" s="209"/>
      <c r="J554" s="209"/>
      <c r="K554" s="209"/>
      <c r="L554" s="209"/>
      <c r="M554" s="209"/>
      <c r="N554" s="209"/>
      <c r="O554" s="209"/>
      <c r="P554" s="209"/>
    </row>
    <row r="555" spans="1:16" ht="11.25" customHeight="1" x14ac:dyDescent="0.2">
      <c r="A555" s="255"/>
      <c r="B555" s="259"/>
      <c r="C555" s="260"/>
      <c r="D555" s="73"/>
      <c r="E555" s="209"/>
      <c r="F555" s="209"/>
      <c r="G555" s="209"/>
      <c r="H555" s="209"/>
      <c r="I555" s="209"/>
      <c r="J555" s="209"/>
      <c r="K555" s="209"/>
      <c r="L555" s="209"/>
      <c r="M555" s="209"/>
      <c r="N555" s="209"/>
      <c r="O555" s="209"/>
      <c r="P555" s="209"/>
    </row>
    <row r="556" spans="1:16" ht="11.25" customHeight="1" x14ac:dyDescent="0.2">
      <c r="A556" s="255"/>
      <c r="B556" s="259"/>
      <c r="C556" s="260"/>
      <c r="D556" s="73"/>
      <c r="E556" s="209"/>
      <c r="F556" s="209"/>
      <c r="G556" s="209"/>
      <c r="H556" s="209"/>
      <c r="I556" s="209"/>
      <c r="J556" s="209"/>
      <c r="K556" s="209"/>
      <c r="L556" s="209"/>
      <c r="M556" s="209"/>
      <c r="N556" s="209"/>
      <c r="O556" s="209"/>
      <c r="P556" s="209"/>
    </row>
    <row r="557" spans="1:16" ht="11.25" customHeight="1" x14ac:dyDescent="0.2">
      <c r="A557" s="255"/>
      <c r="B557" s="259"/>
      <c r="C557" s="260"/>
      <c r="D557" s="73"/>
      <c r="E557" s="209"/>
      <c r="F557" s="209"/>
      <c r="G557" s="209"/>
      <c r="H557" s="209"/>
      <c r="I557" s="209"/>
      <c r="J557" s="209"/>
      <c r="K557" s="209"/>
      <c r="L557" s="209"/>
      <c r="M557" s="209"/>
      <c r="N557" s="209"/>
      <c r="O557" s="209"/>
      <c r="P557" s="209"/>
    </row>
    <row r="558" spans="1:16" ht="11.25" customHeight="1" x14ac:dyDescent="0.2">
      <c r="A558" s="255"/>
      <c r="B558" s="259"/>
      <c r="C558" s="260"/>
      <c r="D558" s="73"/>
      <c r="E558" s="209"/>
      <c r="F558" s="209"/>
      <c r="G558" s="209"/>
      <c r="H558" s="209"/>
      <c r="I558" s="209"/>
      <c r="J558" s="209"/>
      <c r="K558" s="209"/>
      <c r="L558" s="209"/>
      <c r="M558" s="209"/>
      <c r="N558" s="209"/>
      <c r="O558" s="209"/>
      <c r="P558" s="209"/>
    </row>
    <row r="559" spans="1:16" ht="11.25" customHeight="1" x14ac:dyDescent="0.2">
      <c r="A559" s="255"/>
      <c r="B559" s="259"/>
      <c r="C559" s="260"/>
      <c r="D559" s="73"/>
      <c r="E559" s="209"/>
      <c r="F559" s="209"/>
      <c r="G559" s="209"/>
      <c r="H559" s="209"/>
      <c r="I559" s="209"/>
      <c r="J559" s="209"/>
      <c r="K559" s="209"/>
      <c r="L559" s="209"/>
      <c r="M559" s="209"/>
      <c r="N559" s="209"/>
      <c r="O559" s="209"/>
      <c r="P559" s="209"/>
    </row>
    <row r="560" spans="1:16" ht="11.25" customHeight="1" x14ac:dyDescent="0.2">
      <c r="A560" s="255"/>
      <c r="B560" s="259"/>
      <c r="C560" s="260"/>
      <c r="D560" s="73"/>
      <c r="E560" s="209"/>
      <c r="F560" s="209"/>
      <c r="G560" s="209"/>
      <c r="H560" s="209"/>
      <c r="I560" s="209"/>
      <c r="J560" s="209"/>
      <c r="K560" s="209"/>
      <c r="L560" s="209"/>
      <c r="M560" s="209"/>
      <c r="N560" s="209"/>
      <c r="O560" s="209"/>
      <c r="P560" s="209"/>
    </row>
    <row r="561" spans="1:16" ht="11.25" customHeight="1" x14ac:dyDescent="0.2">
      <c r="A561" s="255"/>
      <c r="B561" s="259"/>
      <c r="C561" s="260"/>
      <c r="D561" s="73"/>
      <c r="E561" s="209"/>
      <c r="F561" s="209"/>
      <c r="G561" s="209"/>
      <c r="H561" s="209"/>
      <c r="I561" s="209"/>
      <c r="J561" s="209"/>
      <c r="K561" s="209"/>
      <c r="L561" s="209"/>
      <c r="M561" s="209"/>
      <c r="N561" s="209"/>
      <c r="O561" s="209"/>
      <c r="P561" s="209"/>
    </row>
    <row r="562" spans="1:16" ht="11.25" customHeight="1" x14ac:dyDescent="0.2">
      <c r="A562" s="255"/>
      <c r="B562" s="259"/>
      <c r="C562" s="260"/>
      <c r="D562" s="73"/>
      <c r="E562" s="209"/>
      <c r="F562" s="209"/>
      <c r="G562" s="209"/>
      <c r="H562" s="209"/>
      <c r="I562" s="209"/>
      <c r="J562" s="209"/>
      <c r="K562" s="209"/>
      <c r="L562" s="209"/>
      <c r="M562" s="209"/>
      <c r="N562" s="209"/>
      <c r="O562" s="209"/>
      <c r="P562" s="209"/>
    </row>
    <row r="563" spans="1:16" ht="11.25" customHeight="1" x14ac:dyDescent="0.2">
      <c r="A563" s="255"/>
      <c r="B563" s="259"/>
      <c r="C563" s="260"/>
      <c r="D563" s="73"/>
      <c r="E563" s="209"/>
      <c r="F563" s="209"/>
      <c r="G563" s="209"/>
      <c r="H563" s="209"/>
      <c r="I563" s="209"/>
      <c r="J563" s="209"/>
      <c r="K563" s="209"/>
      <c r="L563" s="209"/>
      <c r="M563" s="209"/>
      <c r="N563" s="209"/>
      <c r="O563" s="209"/>
      <c r="P563" s="209"/>
    </row>
    <row r="564" spans="1:16" ht="11.25" customHeight="1" x14ac:dyDescent="0.2">
      <c r="A564" s="255"/>
      <c r="B564" s="259"/>
      <c r="C564" s="260"/>
      <c r="D564" s="73"/>
      <c r="E564" s="209"/>
      <c r="F564" s="209"/>
      <c r="G564" s="209"/>
      <c r="H564" s="209"/>
      <c r="I564" s="209"/>
      <c r="J564" s="209"/>
      <c r="K564" s="209"/>
      <c r="L564" s="209"/>
      <c r="M564" s="209"/>
      <c r="N564" s="209"/>
      <c r="O564" s="209"/>
      <c r="P564" s="209"/>
    </row>
    <row r="565" spans="1:16" ht="11.25" customHeight="1" x14ac:dyDescent="0.2">
      <c r="A565" s="255"/>
      <c r="B565" s="259"/>
      <c r="C565" s="260"/>
      <c r="D565" s="73"/>
      <c r="E565" s="209"/>
      <c r="F565" s="209"/>
      <c r="G565" s="209"/>
      <c r="H565" s="209"/>
      <c r="I565" s="209"/>
      <c r="J565" s="209"/>
      <c r="K565" s="209"/>
      <c r="L565" s="209"/>
      <c r="M565" s="209"/>
      <c r="N565" s="209"/>
      <c r="O565" s="209"/>
      <c r="P565" s="209"/>
    </row>
    <row r="566" spans="1:16" ht="11.25" customHeight="1" x14ac:dyDescent="0.2">
      <c r="A566" s="255"/>
      <c r="B566" s="259"/>
      <c r="C566" s="260"/>
      <c r="D566" s="73"/>
      <c r="E566" s="209"/>
      <c r="F566" s="209"/>
      <c r="G566" s="209"/>
      <c r="H566" s="209"/>
      <c r="I566" s="209"/>
      <c r="J566" s="209"/>
      <c r="K566" s="209"/>
      <c r="L566" s="209"/>
      <c r="M566" s="209"/>
      <c r="N566" s="209"/>
      <c r="O566" s="209"/>
      <c r="P566" s="209"/>
    </row>
    <row r="567" spans="1:16" ht="11.25" customHeight="1" x14ac:dyDescent="0.2">
      <c r="A567" s="255"/>
      <c r="B567" s="259"/>
      <c r="C567" s="260"/>
      <c r="D567" s="73"/>
      <c r="E567" s="209"/>
      <c r="F567" s="209"/>
      <c r="G567" s="209"/>
      <c r="H567" s="209"/>
      <c r="I567" s="209"/>
      <c r="J567" s="209"/>
      <c r="K567" s="209"/>
      <c r="L567" s="209"/>
      <c r="M567" s="209"/>
      <c r="N567" s="209"/>
      <c r="O567" s="209"/>
      <c r="P567" s="209"/>
    </row>
    <row r="568" spans="1:16" ht="11.25" customHeight="1" x14ac:dyDescent="0.2">
      <c r="A568" s="255"/>
      <c r="B568" s="259"/>
      <c r="C568" s="260"/>
      <c r="D568" s="73"/>
      <c r="E568" s="209"/>
      <c r="F568" s="209"/>
      <c r="G568" s="209"/>
      <c r="H568" s="209"/>
      <c r="I568" s="209"/>
      <c r="J568" s="209"/>
      <c r="K568" s="209"/>
      <c r="L568" s="209"/>
      <c r="M568" s="209"/>
      <c r="N568" s="209"/>
      <c r="O568" s="209"/>
      <c r="P568" s="209"/>
    </row>
    <row r="569" spans="1:16" ht="11.25" customHeight="1" x14ac:dyDescent="0.2">
      <c r="A569" s="255"/>
      <c r="B569" s="259"/>
      <c r="C569" s="260"/>
      <c r="D569" s="73"/>
      <c r="E569" s="209"/>
      <c r="F569" s="209"/>
      <c r="G569" s="209"/>
      <c r="H569" s="209"/>
      <c r="I569" s="209"/>
      <c r="J569" s="209"/>
      <c r="K569" s="209"/>
      <c r="L569" s="209"/>
      <c r="M569" s="209"/>
      <c r="N569" s="209"/>
      <c r="O569" s="209"/>
      <c r="P569" s="209"/>
    </row>
    <row r="570" spans="1:16" ht="11.25" customHeight="1" x14ac:dyDescent="0.2">
      <c r="A570" s="255"/>
      <c r="B570" s="259"/>
      <c r="C570" s="260"/>
      <c r="D570" s="73"/>
      <c r="E570" s="209"/>
      <c r="F570" s="209"/>
      <c r="G570" s="209"/>
      <c r="H570" s="209"/>
      <c r="I570" s="209"/>
      <c r="J570" s="209"/>
      <c r="K570" s="209"/>
      <c r="L570" s="209"/>
      <c r="M570" s="209"/>
      <c r="N570" s="209"/>
      <c r="O570" s="209"/>
      <c r="P570" s="209"/>
    </row>
    <row r="571" spans="1:16" ht="11.25" customHeight="1" x14ac:dyDescent="0.2">
      <c r="A571" s="255"/>
      <c r="B571" s="259"/>
      <c r="C571" s="260"/>
      <c r="D571" s="73"/>
      <c r="E571" s="209"/>
      <c r="F571" s="209"/>
      <c r="G571" s="209"/>
      <c r="H571" s="209"/>
      <c r="I571" s="209"/>
      <c r="J571" s="209"/>
      <c r="K571" s="209"/>
      <c r="L571" s="209"/>
      <c r="M571" s="209"/>
      <c r="N571" s="209"/>
      <c r="O571" s="209"/>
      <c r="P571" s="209"/>
    </row>
    <row r="572" spans="1:16" ht="11.25" customHeight="1" x14ac:dyDescent="0.2">
      <c r="A572" s="255"/>
      <c r="B572" s="259"/>
      <c r="C572" s="260"/>
      <c r="D572" s="73"/>
      <c r="E572" s="209"/>
      <c r="F572" s="209"/>
      <c r="G572" s="209"/>
      <c r="H572" s="209"/>
      <c r="I572" s="209"/>
      <c r="J572" s="209"/>
      <c r="K572" s="209"/>
      <c r="L572" s="209"/>
      <c r="M572" s="209"/>
      <c r="N572" s="209"/>
      <c r="O572" s="209"/>
      <c r="P572" s="209"/>
    </row>
    <row r="573" spans="1:16" ht="11.25" customHeight="1" x14ac:dyDescent="0.2">
      <c r="A573" s="255"/>
      <c r="B573" s="259"/>
      <c r="C573" s="260"/>
      <c r="D573" s="73"/>
      <c r="E573" s="209"/>
      <c r="F573" s="209"/>
      <c r="G573" s="209"/>
      <c r="H573" s="209"/>
      <c r="I573" s="209"/>
      <c r="J573" s="209"/>
      <c r="K573" s="209"/>
      <c r="L573" s="209"/>
      <c r="M573" s="209"/>
      <c r="N573" s="209"/>
      <c r="O573" s="209"/>
      <c r="P573" s="209"/>
    </row>
    <row r="574" spans="1:16" ht="11.25" customHeight="1" x14ac:dyDescent="0.2">
      <c r="A574" s="255"/>
      <c r="B574" s="259"/>
      <c r="C574" s="260"/>
      <c r="D574" s="73"/>
      <c r="E574" s="209"/>
      <c r="F574" s="209"/>
      <c r="G574" s="209"/>
      <c r="H574" s="209"/>
      <c r="I574" s="209"/>
      <c r="J574" s="209"/>
      <c r="K574" s="209"/>
      <c r="L574" s="209"/>
      <c r="M574" s="209"/>
      <c r="N574" s="209"/>
      <c r="O574" s="209"/>
      <c r="P574" s="209"/>
    </row>
    <row r="575" spans="1:16" ht="11.25" customHeight="1" x14ac:dyDescent="0.2">
      <c r="A575" s="255"/>
      <c r="B575" s="259"/>
      <c r="C575" s="260"/>
      <c r="D575" s="73"/>
      <c r="E575" s="209"/>
      <c r="F575" s="209"/>
      <c r="G575" s="209"/>
      <c r="H575" s="209"/>
      <c r="I575" s="209"/>
      <c r="J575" s="209"/>
      <c r="K575" s="209"/>
      <c r="L575" s="209"/>
      <c r="M575" s="209"/>
      <c r="N575" s="209"/>
      <c r="O575" s="209"/>
      <c r="P575" s="209"/>
    </row>
    <row r="576" spans="1:16" ht="11.25" customHeight="1" x14ac:dyDescent="0.2">
      <c r="A576" s="255"/>
      <c r="B576" s="259"/>
      <c r="C576" s="260"/>
      <c r="D576" s="73"/>
      <c r="E576" s="209"/>
      <c r="F576" s="209"/>
      <c r="G576" s="209"/>
      <c r="H576" s="209"/>
      <c r="I576" s="209"/>
      <c r="J576" s="209"/>
      <c r="K576" s="209"/>
      <c r="L576" s="209"/>
      <c r="M576" s="209"/>
      <c r="N576" s="209"/>
      <c r="O576" s="209"/>
      <c r="P576" s="209"/>
    </row>
    <row r="577" spans="1:16" ht="11.25" customHeight="1" x14ac:dyDescent="0.2">
      <c r="A577" s="255"/>
      <c r="B577" s="259"/>
      <c r="C577" s="260"/>
      <c r="D577" s="73"/>
      <c r="E577" s="209"/>
      <c r="F577" s="209"/>
      <c r="G577" s="209"/>
      <c r="H577" s="209"/>
      <c r="I577" s="209"/>
      <c r="J577" s="209"/>
      <c r="K577" s="209"/>
      <c r="L577" s="209"/>
      <c r="M577" s="209"/>
      <c r="N577" s="209"/>
      <c r="O577" s="209"/>
      <c r="P577" s="209"/>
    </row>
    <row r="578" spans="1:16" ht="11.25" customHeight="1" x14ac:dyDescent="0.2">
      <c r="A578" s="255"/>
      <c r="B578" s="259"/>
      <c r="C578" s="260"/>
      <c r="D578" s="73"/>
      <c r="E578" s="209"/>
      <c r="F578" s="209"/>
      <c r="G578" s="209"/>
      <c r="H578" s="209"/>
      <c r="I578" s="209"/>
      <c r="J578" s="209"/>
      <c r="K578" s="209"/>
      <c r="L578" s="209"/>
      <c r="M578" s="209"/>
      <c r="N578" s="209"/>
      <c r="O578" s="209"/>
      <c r="P578" s="209"/>
    </row>
    <row r="579" spans="1:16" ht="11.25" customHeight="1" x14ac:dyDescent="0.2">
      <c r="A579" s="255"/>
      <c r="B579" s="259"/>
      <c r="C579" s="260"/>
      <c r="D579" s="73"/>
      <c r="E579" s="209"/>
      <c r="F579" s="209"/>
      <c r="G579" s="209"/>
      <c r="H579" s="209"/>
      <c r="I579" s="209"/>
      <c r="J579" s="209"/>
      <c r="K579" s="209"/>
      <c r="L579" s="209"/>
      <c r="M579" s="209"/>
      <c r="N579" s="209"/>
      <c r="O579" s="209"/>
      <c r="P579" s="209"/>
    </row>
    <row r="580" spans="1:16" ht="11.25" customHeight="1" x14ac:dyDescent="0.2">
      <c r="A580" s="255"/>
      <c r="B580" s="259"/>
      <c r="C580" s="260"/>
      <c r="D580" s="73"/>
      <c r="E580" s="209"/>
      <c r="F580" s="209"/>
      <c r="G580" s="209"/>
      <c r="H580" s="209"/>
      <c r="I580" s="209"/>
      <c r="J580" s="209"/>
      <c r="K580" s="209"/>
      <c r="L580" s="209"/>
      <c r="M580" s="209"/>
      <c r="N580" s="209"/>
      <c r="O580" s="209"/>
      <c r="P580" s="209"/>
    </row>
    <row r="581" spans="1:16" ht="11.25" customHeight="1" x14ac:dyDescent="0.2">
      <c r="A581" s="255"/>
      <c r="B581" s="259"/>
      <c r="C581" s="260"/>
      <c r="D581" s="73"/>
      <c r="E581" s="209"/>
      <c r="F581" s="209"/>
      <c r="G581" s="209"/>
      <c r="H581" s="209"/>
      <c r="I581" s="209"/>
      <c r="J581" s="209"/>
      <c r="K581" s="209"/>
      <c r="L581" s="209"/>
      <c r="M581" s="209"/>
      <c r="N581" s="209"/>
      <c r="O581" s="209"/>
      <c r="P581" s="209"/>
    </row>
    <row r="582" spans="1:16" ht="11.25" customHeight="1" x14ac:dyDescent="0.2">
      <c r="A582" s="255"/>
      <c r="B582" s="259"/>
      <c r="C582" s="260"/>
      <c r="D582" s="73"/>
      <c r="E582" s="209"/>
      <c r="F582" s="209"/>
      <c r="G582" s="209"/>
      <c r="H582" s="209"/>
      <c r="I582" s="209"/>
      <c r="J582" s="209"/>
      <c r="K582" s="209"/>
      <c r="L582" s="209"/>
      <c r="M582" s="209"/>
      <c r="N582" s="209"/>
      <c r="O582" s="209"/>
      <c r="P582" s="209"/>
    </row>
    <row r="583" spans="1:16" ht="11.25" customHeight="1" x14ac:dyDescent="0.2">
      <c r="A583" s="255"/>
      <c r="B583" s="259"/>
      <c r="C583" s="260"/>
      <c r="D583" s="73"/>
      <c r="E583" s="209"/>
      <c r="F583" s="209"/>
      <c r="G583" s="209"/>
      <c r="H583" s="209"/>
      <c r="I583" s="209"/>
      <c r="J583" s="209"/>
      <c r="K583" s="209"/>
      <c r="L583" s="209"/>
      <c r="M583" s="209"/>
      <c r="N583" s="209"/>
      <c r="O583" s="209"/>
      <c r="P583" s="209"/>
    </row>
    <row r="584" spans="1:16" ht="11.25" customHeight="1" x14ac:dyDescent="0.2">
      <c r="A584" s="255"/>
      <c r="B584" s="259"/>
      <c r="C584" s="260"/>
      <c r="D584" s="73"/>
      <c r="E584" s="209"/>
      <c r="F584" s="209"/>
      <c r="G584" s="209"/>
      <c r="H584" s="209"/>
      <c r="I584" s="209"/>
      <c r="J584" s="209"/>
      <c r="K584" s="209"/>
      <c r="L584" s="209"/>
      <c r="M584" s="209"/>
      <c r="N584" s="209"/>
      <c r="O584" s="209"/>
      <c r="P584" s="209"/>
    </row>
    <row r="585" spans="1:16" ht="11.25" customHeight="1" x14ac:dyDescent="0.2">
      <c r="A585" s="255"/>
      <c r="B585" s="259"/>
      <c r="C585" s="260"/>
      <c r="D585" s="73"/>
      <c r="E585" s="209"/>
      <c r="F585" s="209"/>
      <c r="G585" s="209"/>
      <c r="H585" s="209"/>
      <c r="I585" s="209"/>
      <c r="J585" s="209"/>
      <c r="K585" s="209"/>
      <c r="L585" s="209"/>
      <c r="M585" s="209"/>
      <c r="N585" s="209"/>
      <c r="O585" s="209"/>
      <c r="P585" s="209"/>
    </row>
    <row r="586" spans="1:16" ht="11.25" customHeight="1" x14ac:dyDescent="0.2">
      <c r="A586" s="255"/>
      <c r="B586" s="259"/>
      <c r="C586" s="260"/>
      <c r="D586" s="73"/>
      <c r="E586" s="209"/>
      <c r="F586" s="209"/>
      <c r="G586" s="209"/>
      <c r="H586" s="209"/>
      <c r="I586" s="209"/>
      <c r="J586" s="209"/>
      <c r="K586" s="209"/>
      <c r="L586" s="209"/>
      <c r="M586" s="209"/>
      <c r="N586" s="209"/>
      <c r="O586" s="209"/>
      <c r="P586" s="209"/>
    </row>
    <row r="587" spans="1:16" ht="11.25" customHeight="1" x14ac:dyDescent="0.2">
      <c r="A587" s="255"/>
      <c r="B587" s="259"/>
      <c r="C587" s="260"/>
      <c r="D587" s="73"/>
      <c r="E587" s="209"/>
      <c r="F587" s="209"/>
      <c r="G587" s="209"/>
      <c r="H587" s="209"/>
      <c r="I587" s="209"/>
      <c r="J587" s="209"/>
      <c r="K587" s="209"/>
      <c r="L587" s="209"/>
      <c r="M587" s="209"/>
      <c r="N587" s="209"/>
      <c r="O587" s="209"/>
      <c r="P587" s="209"/>
    </row>
    <row r="588" spans="1:16" ht="11.25" customHeight="1" x14ac:dyDescent="0.2">
      <c r="A588" s="255"/>
      <c r="B588" s="259"/>
      <c r="C588" s="260"/>
      <c r="D588" s="73"/>
      <c r="E588" s="209"/>
      <c r="F588" s="209"/>
      <c r="G588" s="209"/>
      <c r="H588" s="209"/>
      <c r="I588" s="209"/>
      <c r="J588" s="209"/>
      <c r="K588" s="209"/>
      <c r="L588" s="209"/>
      <c r="M588" s="209"/>
      <c r="N588" s="209"/>
      <c r="O588" s="209"/>
      <c r="P588" s="209"/>
    </row>
    <row r="589" spans="1:16" ht="11.25" customHeight="1" x14ac:dyDescent="0.2">
      <c r="A589" s="255"/>
      <c r="B589" s="259"/>
      <c r="C589" s="260"/>
      <c r="D589" s="73"/>
      <c r="E589" s="209"/>
      <c r="F589" s="209"/>
      <c r="G589" s="209"/>
      <c r="H589" s="209"/>
      <c r="I589" s="209"/>
      <c r="J589" s="209"/>
      <c r="K589" s="209"/>
      <c r="L589" s="209"/>
      <c r="M589" s="209"/>
      <c r="N589" s="209"/>
      <c r="O589" s="209"/>
      <c r="P589" s="209"/>
    </row>
    <row r="590" spans="1:16" ht="11.25" customHeight="1" x14ac:dyDescent="0.2">
      <c r="A590" s="255"/>
      <c r="B590" s="259"/>
      <c r="C590" s="260"/>
      <c r="D590" s="73"/>
      <c r="E590" s="209"/>
      <c r="F590" s="209"/>
      <c r="G590" s="209"/>
      <c r="H590" s="209"/>
      <c r="I590" s="209"/>
      <c r="J590" s="209"/>
      <c r="K590" s="209"/>
      <c r="L590" s="209"/>
      <c r="M590" s="209"/>
      <c r="N590" s="209"/>
      <c r="O590" s="209"/>
      <c r="P590" s="209"/>
    </row>
    <row r="591" spans="1:16" ht="11.25" customHeight="1" x14ac:dyDescent="0.2">
      <c r="A591" s="255"/>
      <c r="B591" s="259"/>
      <c r="C591" s="260"/>
      <c r="D591" s="73"/>
      <c r="E591" s="209"/>
      <c r="F591" s="209"/>
      <c r="G591" s="209"/>
      <c r="H591" s="209"/>
      <c r="I591" s="209"/>
      <c r="J591" s="209"/>
      <c r="K591" s="209"/>
      <c r="L591" s="209"/>
      <c r="M591" s="209"/>
      <c r="N591" s="209"/>
      <c r="O591" s="209"/>
      <c r="P591" s="209"/>
    </row>
    <row r="592" spans="1:16" ht="11.25" customHeight="1" x14ac:dyDescent="0.2">
      <c r="A592" s="255"/>
      <c r="B592" s="259"/>
      <c r="C592" s="260"/>
      <c r="D592" s="73"/>
      <c r="E592" s="209"/>
      <c r="F592" s="209"/>
      <c r="G592" s="209"/>
      <c r="H592" s="209"/>
      <c r="I592" s="209"/>
      <c r="J592" s="209"/>
      <c r="K592" s="209"/>
      <c r="L592" s="209"/>
      <c r="M592" s="209"/>
      <c r="N592" s="209"/>
      <c r="O592" s="209"/>
      <c r="P592" s="209"/>
    </row>
    <row r="593" spans="1:16" ht="11.25" customHeight="1" x14ac:dyDescent="0.2">
      <c r="A593" s="255"/>
      <c r="B593" s="259"/>
      <c r="C593" s="260"/>
      <c r="D593" s="73"/>
      <c r="E593" s="209"/>
      <c r="F593" s="209"/>
      <c r="G593" s="209"/>
      <c r="H593" s="209"/>
      <c r="I593" s="209"/>
      <c r="J593" s="209"/>
      <c r="K593" s="209"/>
      <c r="L593" s="209"/>
      <c r="M593" s="209"/>
      <c r="N593" s="209"/>
      <c r="O593" s="209"/>
      <c r="P593" s="209"/>
    </row>
    <row r="594" spans="1:16" ht="11.25" customHeight="1" x14ac:dyDescent="0.2">
      <c r="A594" s="255"/>
      <c r="B594" s="259"/>
      <c r="C594" s="260"/>
      <c r="D594" s="73"/>
      <c r="E594" s="209"/>
      <c r="F594" s="209"/>
      <c r="G594" s="209"/>
      <c r="H594" s="209"/>
      <c r="I594" s="209"/>
      <c r="J594" s="209"/>
      <c r="K594" s="209"/>
      <c r="L594" s="209"/>
      <c r="M594" s="209"/>
      <c r="N594" s="209"/>
      <c r="O594" s="209"/>
      <c r="P594" s="209"/>
    </row>
    <row r="595" spans="1:16" ht="11.25" customHeight="1" x14ac:dyDescent="0.2">
      <c r="A595" s="255"/>
      <c r="B595" s="259"/>
      <c r="C595" s="260"/>
      <c r="D595" s="73"/>
      <c r="E595" s="209"/>
      <c r="F595" s="209"/>
      <c r="G595" s="209"/>
      <c r="H595" s="209"/>
      <c r="I595" s="209"/>
      <c r="J595" s="209"/>
      <c r="K595" s="209"/>
      <c r="L595" s="209"/>
      <c r="M595" s="209"/>
      <c r="N595" s="209"/>
      <c r="O595" s="209"/>
      <c r="P595" s="209"/>
    </row>
    <row r="596" spans="1:16" ht="11.25" customHeight="1" x14ac:dyDescent="0.2">
      <c r="A596" s="255"/>
      <c r="B596" s="259"/>
      <c r="C596" s="260"/>
      <c r="D596" s="73"/>
      <c r="E596" s="209"/>
      <c r="F596" s="209"/>
      <c r="G596" s="209"/>
      <c r="H596" s="209"/>
      <c r="I596" s="209"/>
      <c r="J596" s="209"/>
      <c r="K596" s="209"/>
      <c r="L596" s="209"/>
      <c r="M596" s="209"/>
      <c r="N596" s="209"/>
      <c r="O596" s="209"/>
      <c r="P596" s="209"/>
    </row>
    <row r="597" spans="1:16" ht="11.25" customHeight="1" x14ac:dyDescent="0.2">
      <c r="A597" s="255"/>
      <c r="B597" s="259"/>
      <c r="C597" s="260"/>
      <c r="D597" s="73"/>
      <c r="E597" s="209"/>
      <c r="F597" s="209"/>
      <c r="G597" s="209"/>
      <c r="H597" s="209"/>
      <c r="I597" s="209"/>
      <c r="J597" s="209"/>
      <c r="K597" s="209"/>
      <c r="L597" s="209"/>
      <c r="M597" s="209"/>
      <c r="N597" s="209"/>
      <c r="O597" s="209"/>
      <c r="P597" s="209"/>
    </row>
    <row r="598" spans="1:16" ht="11.25" customHeight="1" x14ac:dyDescent="0.2">
      <c r="A598" s="255"/>
      <c r="B598" s="259"/>
      <c r="C598" s="260"/>
      <c r="D598" s="73"/>
      <c r="E598" s="209"/>
      <c r="F598" s="209"/>
      <c r="G598" s="209"/>
      <c r="H598" s="209"/>
      <c r="I598" s="209"/>
      <c r="J598" s="209"/>
      <c r="K598" s="209"/>
      <c r="L598" s="209"/>
      <c r="M598" s="209"/>
      <c r="N598" s="209"/>
      <c r="O598" s="209"/>
      <c r="P598" s="209"/>
    </row>
    <row r="599" spans="1:16" ht="11.25" customHeight="1" x14ac:dyDescent="0.2">
      <c r="A599" s="255"/>
      <c r="B599" s="259"/>
      <c r="C599" s="260"/>
      <c r="D599" s="73"/>
      <c r="E599" s="209"/>
      <c r="F599" s="209"/>
      <c r="G599" s="209"/>
      <c r="H599" s="209"/>
      <c r="I599" s="209"/>
      <c r="J599" s="209"/>
      <c r="K599" s="209"/>
      <c r="L599" s="209"/>
      <c r="M599" s="209"/>
      <c r="N599" s="209"/>
      <c r="O599" s="209"/>
      <c r="P599" s="209"/>
    </row>
    <row r="600" spans="1:16" ht="11.25" customHeight="1" x14ac:dyDescent="0.2">
      <c r="A600" s="255"/>
      <c r="B600" s="259"/>
      <c r="C600" s="260"/>
      <c r="D600" s="73"/>
      <c r="E600" s="209"/>
      <c r="F600" s="209"/>
      <c r="G600" s="209"/>
      <c r="H600" s="209"/>
      <c r="I600" s="209"/>
      <c r="J600" s="209"/>
      <c r="K600" s="209"/>
      <c r="L600" s="209"/>
      <c r="M600" s="209"/>
      <c r="N600" s="209"/>
      <c r="O600" s="209"/>
      <c r="P600" s="209"/>
    </row>
    <row r="601" spans="1:16" ht="11.25" customHeight="1" x14ac:dyDescent="0.2">
      <c r="A601" s="255"/>
      <c r="B601" s="259"/>
      <c r="C601" s="260"/>
      <c r="D601" s="73"/>
      <c r="E601" s="209"/>
      <c r="F601" s="209"/>
      <c r="G601" s="209"/>
      <c r="H601" s="209"/>
      <c r="I601" s="209"/>
      <c r="J601" s="209"/>
      <c r="K601" s="209"/>
      <c r="L601" s="209"/>
      <c r="M601" s="209"/>
      <c r="N601" s="209"/>
      <c r="O601" s="209"/>
      <c r="P601" s="209"/>
    </row>
    <row r="602" spans="1:16" ht="11.25" customHeight="1" x14ac:dyDescent="0.2">
      <c r="A602" s="255"/>
      <c r="B602" s="259"/>
      <c r="C602" s="260"/>
      <c r="D602" s="73"/>
      <c r="E602" s="209"/>
      <c r="F602" s="209"/>
      <c r="G602" s="209"/>
      <c r="H602" s="209"/>
      <c r="I602" s="209"/>
      <c r="J602" s="209"/>
      <c r="K602" s="209"/>
      <c r="L602" s="209"/>
      <c r="M602" s="209"/>
      <c r="N602" s="209"/>
      <c r="O602" s="209"/>
      <c r="P602" s="209"/>
    </row>
    <row r="603" spans="1:16" ht="11.25" customHeight="1" x14ac:dyDescent="0.2">
      <c r="A603" s="255"/>
      <c r="B603" s="259"/>
      <c r="C603" s="260"/>
      <c r="D603" s="73"/>
      <c r="E603" s="209"/>
      <c r="F603" s="209"/>
      <c r="G603" s="209"/>
      <c r="H603" s="209"/>
      <c r="I603" s="209"/>
      <c r="J603" s="209"/>
      <c r="K603" s="209"/>
      <c r="L603" s="209"/>
      <c r="M603" s="209"/>
      <c r="N603" s="209"/>
      <c r="O603" s="209"/>
      <c r="P603" s="209"/>
    </row>
    <row r="604" spans="1:16" ht="11.25" customHeight="1" x14ac:dyDescent="0.2">
      <c r="A604" s="255"/>
      <c r="B604" s="259"/>
      <c r="C604" s="260"/>
      <c r="D604" s="73"/>
      <c r="E604" s="209"/>
      <c r="F604" s="209"/>
      <c r="G604" s="209"/>
      <c r="H604" s="209"/>
      <c r="I604" s="209"/>
      <c r="J604" s="209"/>
      <c r="K604" s="209"/>
      <c r="L604" s="209"/>
      <c r="M604" s="209"/>
      <c r="N604" s="209"/>
      <c r="O604" s="209"/>
      <c r="P604" s="209"/>
    </row>
    <row r="605" spans="1:16" ht="11.25" customHeight="1" x14ac:dyDescent="0.2">
      <c r="A605" s="255"/>
      <c r="B605" s="259"/>
      <c r="C605" s="260"/>
      <c r="D605" s="73"/>
      <c r="E605" s="209"/>
      <c r="F605" s="209"/>
      <c r="G605" s="209"/>
      <c r="H605" s="209"/>
      <c r="I605" s="209"/>
      <c r="J605" s="209"/>
      <c r="K605" s="209"/>
      <c r="L605" s="209"/>
      <c r="M605" s="209"/>
      <c r="N605" s="209"/>
      <c r="O605" s="209"/>
      <c r="P605" s="209"/>
    </row>
    <row r="606" spans="1:16" ht="11.25" customHeight="1" x14ac:dyDescent="0.2">
      <c r="A606" s="255"/>
      <c r="B606" s="259"/>
      <c r="C606" s="260"/>
      <c r="D606" s="73"/>
      <c r="E606" s="209"/>
      <c r="F606" s="209"/>
      <c r="G606" s="209"/>
      <c r="H606" s="209"/>
      <c r="I606" s="209"/>
      <c r="J606" s="209"/>
      <c r="K606" s="209"/>
      <c r="L606" s="209"/>
      <c r="M606" s="209"/>
      <c r="N606" s="209"/>
      <c r="O606" s="209"/>
      <c r="P606" s="209"/>
    </row>
    <row r="607" spans="1:16" ht="11.25" customHeight="1" x14ac:dyDescent="0.2">
      <c r="A607" s="255"/>
      <c r="B607" s="259"/>
      <c r="C607" s="260"/>
      <c r="D607" s="73"/>
      <c r="E607" s="209"/>
      <c r="F607" s="209"/>
      <c r="G607" s="209"/>
      <c r="H607" s="209"/>
      <c r="I607" s="209"/>
      <c r="J607" s="209"/>
      <c r="K607" s="209"/>
      <c r="L607" s="209"/>
      <c r="M607" s="209"/>
      <c r="N607" s="209"/>
      <c r="O607" s="209"/>
      <c r="P607" s="209"/>
    </row>
    <row r="608" spans="1:16" ht="11.25" customHeight="1" x14ac:dyDescent="0.2">
      <c r="A608" s="255"/>
      <c r="B608" s="259"/>
      <c r="C608" s="260"/>
      <c r="D608" s="73"/>
      <c r="E608" s="209"/>
      <c r="F608" s="209"/>
      <c r="G608" s="209"/>
      <c r="H608" s="209"/>
      <c r="I608" s="209"/>
      <c r="J608" s="209"/>
      <c r="K608" s="209"/>
      <c r="L608" s="209"/>
      <c r="M608" s="209"/>
      <c r="N608" s="209"/>
      <c r="O608" s="209"/>
      <c r="P608" s="209"/>
    </row>
    <row r="609" spans="1:16" ht="11.25" customHeight="1" x14ac:dyDescent="0.2">
      <c r="A609" s="255"/>
      <c r="B609" s="259"/>
      <c r="C609" s="260"/>
      <c r="D609" s="73"/>
      <c r="E609" s="209"/>
      <c r="F609" s="209"/>
      <c r="G609" s="209"/>
      <c r="H609" s="209"/>
      <c r="I609" s="209"/>
      <c r="J609" s="209"/>
      <c r="K609" s="209"/>
      <c r="L609" s="209"/>
      <c r="M609" s="209"/>
      <c r="N609" s="209"/>
      <c r="O609" s="209"/>
      <c r="P609" s="209"/>
    </row>
    <row r="610" spans="1:16" ht="11.25" customHeight="1" x14ac:dyDescent="0.2">
      <c r="A610" s="255"/>
      <c r="B610" s="259"/>
      <c r="C610" s="260"/>
      <c r="D610" s="73"/>
      <c r="E610" s="209"/>
      <c r="F610" s="209"/>
      <c r="G610" s="209"/>
      <c r="H610" s="209"/>
      <c r="I610" s="209"/>
      <c r="J610" s="209"/>
      <c r="K610" s="209"/>
      <c r="L610" s="209"/>
      <c r="M610" s="209"/>
      <c r="N610" s="209"/>
      <c r="O610" s="209"/>
      <c r="P610" s="209"/>
    </row>
    <row r="611" spans="1:16" ht="11.25" customHeight="1" x14ac:dyDescent="0.2">
      <c r="A611" s="255"/>
      <c r="B611" s="259"/>
      <c r="C611" s="260"/>
      <c r="D611" s="73"/>
      <c r="E611" s="209"/>
      <c r="F611" s="209"/>
      <c r="G611" s="209"/>
      <c r="H611" s="209"/>
      <c r="I611" s="209"/>
      <c r="J611" s="209"/>
      <c r="K611" s="209"/>
      <c r="L611" s="209"/>
      <c r="M611" s="209"/>
      <c r="N611" s="209"/>
      <c r="O611" s="209"/>
      <c r="P611" s="209"/>
    </row>
    <row r="612" spans="1:16" ht="11.25" customHeight="1" x14ac:dyDescent="0.2">
      <c r="A612" s="255"/>
      <c r="B612" s="259"/>
      <c r="C612" s="260"/>
      <c r="D612" s="73"/>
      <c r="E612" s="209"/>
      <c r="F612" s="209"/>
      <c r="G612" s="209"/>
      <c r="H612" s="209"/>
      <c r="I612" s="209"/>
      <c r="J612" s="209"/>
      <c r="K612" s="209"/>
      <c r="L612" s="209"/>
      <c r="M612" s="209"/>
      <c r="N612" s="209"/>
      <c r="O612" s="209"/>
      <c r="P612" s="209"/>
    </row>
    <row r="613" spans="1:16" ht="11.25" customHeight="1" x14ac:dyDescent="0.2">
      <c r="A613" s="255"/>
      <c r="B613" s="259"/>
      <c r="C613" s="260"/>
      <c r="D613" s="73"/>
      <c r="E613" s="209"/>
      <c r="F613" s="209"/>
      <c r="G613" s="209"/>
      <c r="H613" s="209"/>
      <c r="I613" s="209"/>
      <c r="J613" s="209"/>
      <c r="K613" s="209"/>
      <c r="L613" s="209"/>
      <c r="M613" s="209"/>
      <c r="N613" s="209"/>
      <c r="O613" s="209"/>
      <c r="P613" s="209"/>
    </row>
    <row r="614" spans="1:16" ht="11.25" customHeight="1" x14ac:dyDescent="0.2">
      <c r="A614" s="255"/>
      <c r="B614" s="259"/>
      <c r="C614" s="260"/>
      <c r="D614" s="73"/>
      <c r="E614" s="209"/>
      <c r="F614" s="209"/>
      <c r="G614" s="209"/>
      <c r="H614" s="209"/>
      <c r="I614" s="209"/>
      <c r="J614" s="209"/>
      <c r="K614" s="209"/>
      <c r="L614" s="209"/>
      <c r="M614" s="209"/>
      <c r="N614" s="209"/>
      <c r="O614" s="209"/>
      <c r="P614" s="209"/>
    </row>
    <row r="615" spans="1:16" ht="11.25" customHeight="1" x14ac:dyDescent="0.2">
      <c r="A615" s="255"/>
      <c r="B615" s="259"/>
      <c r="C615" s="260"/>
      <c r="D615" s="73"/>
      <c r="E615" s="209"/>
      <c r="F615" s="209"/>
      <c r="G615" s="209"/>
      <c r="H615" s="209"/>
      <c r="I615" s="209"/>
      <c r="J615" s="209"/>
      <c r="K615" s="209"/>
      <c r="L615" s="209"/>
      <c r="M615" s="209"/>
      <c r="N615" s="209"/>
      <c r="O615" s="209"/>
      <c r="P615" s="209"/>
    </row>
    <row r="616" spans="1:16" ht="11.25" customHeight="1" x14ac:dyDescent="0.2">
      <c r="A616" s="255"/>
      <c r="B616" s="259"/>
      <c r="C616" s="260"/>
      <c r="D616" s="73"/>
      <c r="E616" s="209"/>
      <c r="F616" s="209"/>
      <c r="G616" s="209"/>
      <c r="H616" s="209"/>
      <c r="I616" s="209"/>
      <c r="J616" s="209"/>
      <c r="K616" s="209"/>
      <c r="L616" s="209"/>
      <c r="M616" s="209"/>
      <c r="N616" s="209"/>
      <c r="O616" s="209"/>
      <c r="P616" s="209"/>
    </row>
    <row r="617" spans="1:16" ht="11.25" customHeight="1" x14ac:dyDescent="0.2">
      <c r="A617" s="255"/>
      <c r="B617" s="259"/>
      <c r="C617" s="260"/>
      <c r="D617" s="73"/>
      <c r="E617" s="209"/>
      <c r="F617" s="209"/>
      <c r="G617" s="209"/>
      <c r="H617" s="209"/>
      <c r="I617" s="209"/>
      <c r="J617" s="209"/>
      <c r="K617" s="209"/>
      <c r="L617" s="209"/>
      <c r="M617" s="209"/>
      <c r="N617" s="209"/>
      <c r="O617" s="209"/>
      <c r="P617" s="209"/>
    </row>
    <row r="618" spans="1:16" ht="11.25" customHeight="1" x14ac:dyDescent="0.2">
      <c r="A618" s="255"/>
      <c r="B618" s="259"/>
      <c r="C618" s="260"/>
      <c r="D618" s="73"/>
      <c r="E618" s="209"/>
      <c r="F618" s="209"/>
      <c r="G618" s="209"/>
      <c r="H618" s="209"/>
      <c r="I618" s="209"/>
      <c r="J618" s="209"/>
      <c r="K618" s="209"/>
      <c r="L618" s="209"/>
      <c r="M618" s="209"/>
      <c r="N618" s="209"/>
      <c r="O618" s="209"/>
      <c r="P618" s="209"/>
    </row>
    <row r="619" spans="1:16" ht="11.25" customHeight="1" x14ac:dyDescent="0.2">
      <c r="A619" s="255"/>
      <c r="B619" s="259"/>
      <c r="C619" s="260"/>
      <c r="D619" s="73"/>
      <c r="E619" s="209"/>
      <c r="F619" s="209"/>
      <c r="G619" s="209"/>
      <c r="H619" s="209"/>
      <c r="I619" s="209"/>
      <c r="J619" s="209"/>
      <c r="K619" s="209"/>
      <c r="L619" s="209"/>
      <c r="M619" s="209"/>
      <c r="N619" s="209"/>
      <c r="O619" s="209"/>
      <c r="P619" s="209"/>
    </row>
    <row r="620" spans="1:16" ht="11.25" customHeight="1" x14ac:dyDescent="0.2">
      <c r="A620" s="255"/>
      <c r="B620" s="259"/>
      <c r="C620" s="260"/>
      <c r="D620" s="73"/>
      <c r="E620" s="209"/>
      <c r="F620" s="209"/>
      <c r="G620" s="209"/>
      <c r="H620" s="209"/>
      <c r="I620" s="209"/>
      <c r="J620" s="209"/>
      <c r="K620" s="209"/>
      <c r="L620" s="209"/>
      <c r="M620" s="209"/>
      <c r="N620" s="209"/>
      <c r="O620" s="209"/>
      <c r="P620" s="209"/>
    </row>
    <row r="621" spans="1:16" ht="11.25" customHeight="1" x14ac:dyDescent="0.2">
      <c r="A621" s="255"/>
      <c r="B621" s="259"/>
      <c r="C621" s="260"/>
      <c r="D621" s="73"/>
      <c r="E621" s="209"/>
      <c r="F621" s="209"/>
      <c r="G621" s="209"/>
      <c r="H621" s="209"/>
      <c r="I621" s="209"/>
      <c r="J621" s="209"/>
      <c r="K621" s="209"/>
      <c r="L621" s="209"/>
      <c r="M621" s="209"/>
      <c r="N621" s="209"/>
      <c r="O621" s="209"/>
      <c r="P621" s="209"/>
    </row>
    <row r="622" spans="1:16" ht="11.25" customHeight="1" x14ac:dyDescent="0.2">
      <c r="A622" s="255"/>
      <c r="B622" s="259"/>
      <c r="C622" s="260"/>
      <c r="D622" s="73"/>
      <c r="E622" s="209"/>
      <c r="F622" s="209"/>
      <c r="G622" s="209"/>
      <c r="H622" s="209"/>
      <c r="I622" s="209"/>
      <c r="J622" s="209"/>
      <c r="K622" s="209"/>
      <c r="L622" s="209"/>
      <c r="M622" s="209"/>
      <c r="N622" s="209"/>
      <c r="O622" s="209"/>
      <c r="P622" s="209"/>
    </row>
    <row r="623" spans="1:16" ht="11.25" customHeight="1" x14ac:dyDescent="0.2">
      <c r="A623" s="255"/>
      <c r="B623" s="259"/>
      <c r="C623" s="260"/>
      <c r="D623" s="73"/>
      <c r="E623" s="209"/>
      <c r="F623" s="209"/>
      <c r="G623" s="209"/>
      <c r="H623" s="209"/>
      <c r="I623" s="209"/>
      <c r="J623" s="209"/>
      <c r="K623" s="209"/>
      <c r="L623" s="209"/>
      <c r="M623" s="209"/>
      <c r="N623" s="209"/>
      <c r="O623" s="209"/>
      <c r="P623" s="209"/>
    </row>
    <row r="624" spans="1:16" ht="11.25" customHeight="1" x14ac:dyDescent="0.2">
      <c r="A624" s="255"/>
      <c r="B624" s="259"/>
      <c r="C624" s="260"/>
      <c r="D624" s="73"/>
      <c r="E624" s="209"/>
      <c r="F624" s="209"/>
      <c r="G624" s="209"/>
      <c r="H624" s="209"/>
      <c r="I624" s="209"/>
      <c r="J624" s="209"/>
      <c r="K624" s="209"/>
      <c r="L624" s="209"/>
      <c r="M624" s="209"/>
      <c r="N624" s="209"/>
      <c r="O624" s="209"/>
      <c r="P624" s="209"/>
    </row>
    <row r="625" spans="1:16" ht="11.25" customHeight="1" x14ac:dyDescent="0.2">
      <c r="A625" s="255"/>
      <c r="B625" s="259"/>
      <c r="C625" s="260"/>
      <c r="D625" s="73"/>
      <c r="E625" s="209"/>
      <c r="F625" s="209"/>
      <c r="G625" s="209"/>
      <c r="H625" s="209"/>
      <c r="I625" s="209"/>
      <c r="J625" s="209"/>
      <c r="K625" s="209"/>
      <c r="L625" s="209"/>
      <c r="M625" s="209"/>
      <c r="N625" s="209"/>
      <c r="O625" s="209"/>
      <c r="P625" s="209"/>
    </row>
    <row r="626" spans="1:16" ht="11.25" customHeight="1" x14ac:dyDescent="0.2">
      <c r="A626" s="255"/>
      <c r="B626" s="259"/>
      <c r="C626" s="260"/>
      <c r="D626" s="73"/>
      <c r="E626" s="209"/>
      <c r="F626" s="209"/>
      <c r="G626" s="209"/>
      <c r="H626" s="209"/>
      <c r="I626" s="209"/>
      <c r="J626" s="209"/>
      <c r="K626" s="209"/>
      <c r="L626" s="209"/>
      <c r="M626" s="209"/>
      <c r="N626" s="209"/>
      <c r="O626" s="209"/>
      <c r="P626" s="209"/>
    </row>
    <row r="627" spans="1:16" ht="11.25" customHeight="1" x14ac:dyDescent="0.2">
      <c r="A627" s="255"/>
      <c r="B627" s="259"/>
      <c r="C627" s="260"/>
      <c r="D627" s="73"/>
      <c r="E627" s="209"/>
      <c r="F627" s="209"/>
      <c r="G627" s="209"/>
      <c r="H627" s="209"/>
      <c r="I627" s="209"/>
      <c r="J627" s="209"/>
      <c r="K627" s="209"/>
      <c r="L627" s="209"/>
      <c r="M627" s="209"/>
      <c r="N627" s="209"/>
      <c r="O627" s="209"/>
      <c r="P627" s="209"/>
    </row>
    <row r="628" spans="1:16" ht="11.25" customHeight="1" x14ac:dyDescent="0.2">
      <c r="A628" s="255"/>
      <c r="B628" s="259"/>
      <c r="C628" s="260"/>
      <c r="D628" s="73"/>
      <c r="E628" s="209"/>
      <c r="F628" s="209"/>
      <c r="G628" s="209"/>
      <c r="H628" s="209"/>
      <c r="I628" s="209"/>
      <c r="J628" s="209"/>
      <c r="K628" s="209"/>
      <c r="L628" s="209"/>
      <c r="M628" s="209"/>
      <c r="N628" s="209"/>
      <c r="O628" s="209"/>
      <c r="P628" s="209"/>
    </row>
    <row r="629" spans="1:16" ht="11.25" customHeight="1" x14ac:dyDescent="0.2">
      <c r="A629" s="255"/>
      <c r="B629" s="259"/>
      <c r="C629" s="260"/>
      <c r="D629" s="73"/>
      <c r="E629" s="209"/>
      <c r="F629" s="209"/>
      <c r="G629" s="209"/>
      <c r="H629" s="209"/>
      <c r="I629" s="209"/>
      <c r="J629" s="209"/>
      <c r="K629" s="209"/>
      <c r="L629" s="209"/>
      <c r="M629" s="209"/>
      <c r="N629" s="209"/>
      <c r="O629" s="209"/>
      <c r="P629" s="209"/>
    </row>
    <row r="630" spans="1:16" ht="11.25" customHeight="1" x14ac:dyDescent="0.2">
      <c r="A630" s="255"/>
      <c r="B630" s="259"/>
      <c r="C630" s="260"/>
      <c r="D630" s="73"/>
      <c r="E630" s="209"/>
      <c r="F630" s="209"/>
      <c r="G630" s="209"/>
      <c r="H630" s="209"/>
      <c r="I630" s="209"/>
      <c r="J630" s="209"/>
      <c r="K630" s="209"/>
      <c r="L630" s="209"/>
      <c r="M630" s="209"/>
      <c r="N630" s="209"/>
      <c r="O630" s="209"/>
      <c r="P630" s="209"/>
    </row>
    <row r="631" spans="1:16" ht="11.25" customHeight="1" x14ac:dyDescent="0.2">
      <c r="A631" s="255"/>
      <c r="B631" s="259"/>
      <c r="C631" s="260"/>
      <c r="D631" s="73"/>
      <c r="E631" s="209"/>
      <c r="F631" s="209"/>
      <c r="G631" s="209"/>
      <c r="H631" s="209"/>
      <c r="I631" s="209"/>
      <c r="J631" s="209"/>
      <c r="K631" s="209"/>
      <c r="L631" s="209"/>
      <c r="M631" s="209"/>
      <c r="N631" s="209"/>
      <c r="O631" s="209"/>
      <c r="P631" s="209"/>
    </row>
    <row r="632" spans="1:16" ht="11.25" customHeight="1" x14ac:dyDescent="0.2">
      <c r="A632" s="255"/>
      <c r="B632" s="259"/>
      <c r="C632" s="260"/>
      <c r="D632" s="73"/>
      <c r="E632" s="209"/>
      <c r="F632" s="209"/>
      <c r="G632" s="209"/>
      <c r="H632" s="209"/>
      <c r="I632" s="209"/>
      <c r="J632" s="209"/>
      <c r="K632" s="209"/>
      <c r="L632" s="209"/>
      <c r="M632" s="209"/>
      <c r="N632" s="209"/>
      <c r="O632" s="209"/>
      <c r="P632" s="209"/>
    </row>
    <row r="633" spans="1:16" ht="11.25" customHeight="1" x14ac:dyDescent="0.2">
      <c r="A633" s="255"/>
      <c r="B633" s="259"/>
      <c r="C633" s="260"/>
      <c r="D633" s="73"/>
      <c r="E633" s="209"/>
      <c r="F633" s="209"/>
      <c r="G633" s="209"/>
      <c r="H633" s="209"/>
      <c r="I633" s="209"/>
      <c r="J633" s="209"/>
      <c r="K633" s="209"/>
      <c r="L633" s="209"/>
      <c r="M633" s="209"/>
      <c r="N633" s="209"/>
      <c r="O633" s="209"/>
      <c r="P633" s="209"/>
    </row>
    <row r="634" spans="1:16" ht="11.25" customHeight="1" x14ac:dyDescent="0.2">
      <c r="A634" s="255"/>
      <c r="B634" s="259"/>
      <c r="C634" s="260"/>
      <c r="D634" s="73"/>
      <c r="E634" s="209"/>
      <c r="F634" s="209"/>
      <c r="G634" s="209"/>
      <c r="H634" s="209"/>
      <c r="I634" s="209"/>
      <c r="J634" s="209"/>
      <c r="K634" s="209"/>
      <c r="L634" s="209"/>
      <c r="M634" s="209"/>
      <c r="N634" s="209"/>
      <c r="O634" s="209"/>
      <c r="P634" s="209"/>
    </row>
    <row r="635" spans="1:16" ht="11.25" customHeight="1" x14ac:dyDescent="0.2">
      <c r="A635" s="255"/>
      <c r="B635" s="259"/>
      <c r="C635" s="260"/>
      <c r="D635" s="73"/>
      <c r="E635" s="209"/>
      <c r="F635" s="209"/>
      <c r="G635" s="209"/>
      <c r="H635" s="209"/>
      <c r="I635" s="209"/>
      <c r="J635" s="209"/>
      <c r="K635" s="209"/>
      <c r="L635" s="209"/>
      <c r="M635" s="209"/>
      <c r="N635" s="209"/>
      <c r="O635" s="209"/>
      <c r="P635" s="209"/>
    </row>
    <row r="636" spans="1:16" ht="11.25" customHeight="1" x14ac:dyDescent="0.2">
      <c r="A636" s="255"/>
      <c r="B636" s="259"/>
      <c r="C636" s="260"/>
      <c r="D636" s="73"/>
      <c r="E636" s="209"/>
      <c r="F636" s="209"/>
      <c r="G636" s="209"/>
      <c r="H636" s="209"/>
      <c r="I636" s="209"/>
      <c r="J636" s="209"/>
      <c r="K636" s="209"/>
      <c r="L636" s="209"/>
      <c r="M636" s="209"/>
      <c r="N636" s="209"/>
      <c r="O636" s="209"/>
      <c r="P636" s="209"/>
    </row>
    <row r="637" spans="1:16" ht="11.25" customHeight="1" x14ac:dyDescent="0.2">
      <c r="A637" s="255"/>
      <c r="B637" s="259"/>
      <c r="C637" s="260"/>
      <c r="D637" s="73"/>
      <c r="E637" s="209"/>
      <c r="F637" s="209"/>
      <c r="G637" s="209"/>
      <c r="H637" s="209"/>
      <c r="I637" s="209"/>
      <c r="J637" s="209"/>
      <c r="K637" s="209"/>
      <c r="L637" s="209"/>
      <c r="M637" s="209"/>
      <c r="N637" s="209"/>
      <c r="O637" s="209"/>
      <c r="P637" s="209"/>
    </row>
    <row r="638" spans="1:16" ht="11.25" customHeight="1" x14ac:dyDescent="0.2">
      <c r="A638" s="255"/>
      <c r="B638" s="259"/>
      <c r="C638" s="260"/>
      <c r="D638" s="73"/>
      <c r="E638" s="209"/>
      <c r="F638" s="209"/>
      <c r="G638" s="209"/>
      <c r="H638" s="209"/>
      <c r="I638" s="209"/>
      <c r="J638" s="209"/>
      <c r="K638" s="209"/>
      <c r="L638" s="209"/>
      <c r="M638" s="209"/>
      <c r="N638" s="209"/>
      <c r="O638" s="209"/>
      <c r="P638" s="209"/>
    </row>
    <row r="639" spans="1:16" ht="11.25" customHeight="1" x14ac:dyDescent="0.2">
      <c r="A639" s="255"/>
      <c r="B639" s="259"/>
      <c r="C639" s="260"/>
      <c r="D639" s="73"/>
      <c r="E639" s="209"/>
      <c r="F639" s="209"/>
      <c r="G639" s="209"/>
      <c r="H639" s="209"/>
      <c r="I639" s="209"/>
      <c r="J639" s="209"/>
      <c r="K639" s="209"/>
      <c r="L639" s="209"/>
      <c r="M639" s="209"/>
      <c r="N639" s="209"/>
      <c r="O639" s="209"/>
      <c r="P639" s="209"/>
    </row>
    <row r="640" spans="1:16" ht="11.25" customHeight="1" x14ac:dyDescent="0.2">
      <c r="A640" s="255"/>
      <c r="B640" s="259"/>
      <c r="C640" s="260"/>
      <c r="D640" s="73"/>
      <c r="E640" s="209"/>
      <c r="F640" s="209"/>
      <c r="G640" s="209"/>
      <c r="H640" s="209"/>
      <c r="I640" s="209"/>
      <c r="J640" s="209"/>
      <c r="K640" s="209"/>
      <c r="L640" s="209"/>
      <c r="M640" s="209"/>
      <c r="N640" s="209"/>
      <c r="O640" s="209"/>
      <c r="P640" s="209"/>
    </row>
    <row r="641" spans="1:16" ht="11.25" customHeight="1" x14ac:dyDescent="0.2">
      <c r="A641" s="255"/>
      <c r="B641" s="259"/>
      <c r="C641" s="260"/>
      <c r="D641" s="73"/>
      <c r="E641" s="209"/>
      <c r="F641" s="209"/>
      <c r="G641" s="209"/>
      <c r="H641" s="209"/>
      <c r="I641" s="209"/>
      <c r="J641" s="209"/>
      <c r="K641" s="209"/>
      <c r="L641" s="209"/>
      <c r="M641" s="209"/>
      <c r="N641" s="209"/>
      <c r="O641" s="209"/>
      <c r="P641" s="209"/>
    </row>
    <row r="642" spans="1:16" ht="11.25" customHeight="1" x14ac:dyDescent="0.2">
      <c r="A642" s="255"/>
      <c r="B642" s="259"/>
      <c r="C642" s="260"/>
      <c r="D642" s="73"/>
      <c r="E642" s="209"/>
      <c r="F642" s="209"/>
      <c r="G642" s="209"/>
      <c r="H642" s="209"/>
      <c r="I642" s="209"/>
      <c r="J642" s="209"/>
      <c r="K642" s="209"/>
      <c r="L642" s="209"/>
      <c r="M642" s="209"/>
      <c r="N642" s="209"/>
      <c r="O642" s="209"/>
      <c r="P642" s="209"/>
    </row>
    <row r="643" spans="1:16" ht="11.25" customHeight="1" x14ac:dyDescent="0.2">
      <c r="A643" s="255"/>
      <c r="B643" s="259"/>
      <c r="C643" s="260"/>
      <c r="D643" s="73"/>
      <c r="E643" s="209"/>
      <c r="F643" s="209"/>
      <c r="G643" s="209"/>
      <c r="H643" s="209"/>
      <c r="I643" s="209"/>
      <c r="J643" s="209"/>
      <c r="K643" s="209"/>
      <c r="L643" s="209"/>
      <c r="M643" s="209"/>
      <c r="N643" s="209"/>
      <c r="O643" s="209"/>
      <c r="P643" s="209"/>
    </row>
    <row r="644" spans="1:16" ht="11.25" customHeight="1" x14ac:dyDescent="0.2">
      <c r="A644" s="255"/>
      <c r="B644" s="259"/>
      <c r="C644" s="260"/>
      <c r="D644" s="73"/>
      <c r="E644" s="209"/>
      <c r="F644" s="209"/>
      <c r="G644" s="209"/>
      <c r="H644" s="209"/>
      <c r="I644" s="209"/>
      <c r="J644" s="209"/>
      <c r="K644" s="209"/>
      <c r="L644" s="209"/>
      <c r="M644" s="209"/>
      <c r="N644" s="209"/>
      <c r="O644" s="209"/>
      <c r="P644" s="209"/>
    </row>
    <row r="645" spans="1:16" ht="11.25" customHeight="1" x14ac:dyDescent="0.2">
      <c r="A645" s="255"/>
      <c r="B645" s="259"/>
      <c r="C645" s="260"/>
      <c r="D645" s="73"/>
      <c r="E645" s="209"/>
      <c r="F645" s="209"/>
      <c r="G645" s="209"/>
      <c r="H645" s="209"/>
      <c r="I645" s="209"/>
      <c r="J645" s="209"/>
      <c r="K645" s="209"/>
      <c r="L645" s="209"/>
      <c r="M645" s="209"/>
      <c r="N645" s="209"/>
      <c r="O645" s="209"/>
      <c r="P645" s="209"/>
    </row>
    <row r="646" spans="1:16" ht="11.25" customHeight="1" x14ac:dyDescent="0.2">
      <c r="A646" s="255"/>
      <c r="B646" s="259"/>
      <c r="C646" s="260"/>
      <c r="D646" s="73"/>
      <c r="E646" s="209"/>
      <c r="F646" s="209"/>
      <c r="G646" s="209"/>
      <c r="H646" s="209"/>
      <c r="I646" s="209"/>
      <c r="J646" s="209"/>
      <c r="K646" s="209"/>
      <c r="L646" s="209"/>
      <c r="M646" s="209"/>
      <c r="N646" s="209"/>
      <c r="O646" s="209"/>
      <c r="P646" s="209"/>
    </row>
    <row r="647" spans="1:16" ht="11.25" customHeight="1" x14ac:dyDescent="0.2">
      <c r="A647" s="255"/>
      <c r="B647" s="259"/>
      <c r="C647" s="260"/>
      <c r="D647" s="73"/>
      <c r="E647" s="209"/>
      <c r="F647" s="209"/>
      <c r="G647" s="209"/>
      <c r="H647" s="209"/>
      <c r="I647" s="209"/>
      <c r="J647" s="209"/>
      <c r="K647" s="209"/>
      <c r="L647" s="209"/>
      <c r="M647" s="209"/>
      <c r="N647" s="209"/>
      <c r="O647" s="209"/>
      <c r="P647" s="209"/>
    </row>
    <row r="648" spans="1:16" ht="11.25" customHeight="1" x14ac:dyDescent="0.2">
      <c r="A648" s="255"/>
      <c r="B648" s="259"/>
      <c r="C648" s="260"/>
      <c r="D648" s="73"/>
      <c r="E648" s="209"/>
      <c r="F648" s="209"/>
      <c r="G648" s="209"/>
      <c r="H648" s="209"/>
      <c r="I648" s="209"/>
      <c r="J648" s="209"/>
      <c r="K648" s="209"/>
      <c r="L648" s="209"/>
      <c r="M648" s="209"/>
      <c r="N648" s="209"/>
      <c r="O648" s="209"/>
      <c r="P648" s="209"/>
    </row>
    <row r="649" spans="1:16" ht="11.25" customHeight="1" x14ac:dyDescent="0.2">
      <c r="A649" s="255"/>
      <c r="B649" s="259"/>
      <c r="C649" s="260"/>
      <c r="D649" s="73"/>
      <c r="E649" s="209"/>
      <c r="F649" s="209"/>
      <c r="G649" s="209"/>
      <c r="H649" s="209"/>
      <c r="I649" s="209"/>
      <c r="J649" s="209"/>
      <c r="K649" s="209"/>
      <c r="L649" s="209"/>
      <c r="M649" s="209"/>
      <c r="N649" s="209"/>
      <c r="O649" s="209"/>
      <c r="P649" s="209"/>
    </row>
    <row r="650" spans="1:16" ht="11.25" customHeight="1" x14ac:dyDescent="0.2">
      <c r="A650" s="255"/>
      <c r="B650" s="259"/>
      <c r="C650" s="260"/>
      <c r="D650" s="73"/>
      <c r="E650" s="209"/>
      <c r="F650" s="209"/>
      <c r="G650" s="209"/>
      <c r="H650" s="209"/>
      <c r="I650" s="209"/>
      <c r="J650" s="209"/>
      <c r="K650" s="209"/>
      <c r="L650" s="209"/>
      <c r="M650" s="209"/>
      <c r="N650" s="209"/>
      <c r="O650" s="209"/>
      <c r="P650" s="209"/>
    </row>
    <row r="651" spans="1:16" ht="11.25" customHeight="1" x14ac:dyDescent="0.2">
      <c r="A651" s="255"/>
      <c r="B651" s="259"/>
      <c r="C651" s="260"/>
      <c r="D651" s="73"/>
      <c r="E651" s="209"/>
      <c r="F651" s="209"/>
      <c r="G651" s="209"/>
      <c r="H651" s="209"/>
      <c r="I651" s="209"/>
      <c r="J651" s="209"/>
      <c r="K651" s="209"/>
      <c r="L651" s="209"/>
      <c r="M651" s="209"/>
      <c r="N651" s="209"/>
      <c r="O651" s="209"/>
      <c r="P651" s="209"/>
    </row>
    <row r="652" spans="1:16" ht="11.25" customHeight="1" x14ac:dyDescent="0.2">
      <c r="A652" s="255"/>
      <c r="B652" s="259"/>
      <c r="C652" s="260"/>
      <c r="D652" s="73"/>
      <c r="E652" s="209"/>
      <c r="F652" s="209"/>
      <c r="G652" s="209"/>
      <c r="H652" s="209"/>
      <c r="I652" s="209"/>
      <c r="J652" s="209"/>
      <c r="K652" s="209"/>
      <c r="L652" s="209"/>
      <c r="M652" s="209"/>
      <c r="N652" s="209"/>
      <c r="O652" s="209"/>
      <c r="P652" s="209"/>
    </row>
    <row r="653" spans="1:16" ht="11.25" customHeight="1" x14ac:dyDescent="0.2">
      <c r="A653" s="255"/>
      <c r="B653" s="259"/>
      <c r="C653" s="260"/>
      <c r="D653" s="73"/>
      <c r="E653" s="209"/>
      <c r="F653" s="209"/>
      <c r="G653" s="209"/>
      <c r="H653" s="209"/>
      <c r="I653" s="209"/>
      <c r="J653" s="209"/>
      <c r="K653" s="209"/>
      <c r="L653" s="209"/>
      <c r="M653" s="209"/>
      <c r="N653" s="209"/>
      <c r="O653" s="209"/>
      <c r="P653" s="209"/>
    </row>
    <row r="654" spans="1:16" ht="11.25" customHeight="1" x14ac:dyDescent="0.2">
      <c r="A654" s="255"/>
      <c r="B654" s="259"/>
      <c r="C654" s="260"/>
      <c r="D654" s="73"/>
      <c r="E654" s="209"/>
      <c r="F654" s="209"/>
      <c r="G654" s="209"/>
      <c r="H654" s="209"/>
      <c r="I654" s="209"/>
      <c r="J654" s="209"/>
      <c r="K654" s="209"/>
      <c r="L654" s="209"/>
      <c r="M654" s="209"/>
      <c r="N654" s="209"/>
      <c r="O654" s="209"/>
      <c r="P654" s="209"/>
    </row>
    <row r="655" spans="1:16" ht="11.25" customHeight="1" x14ac:dyDescent="0.2">
      <c r="A655" s="255"/>
      <c r="B655" s="259"/>
      <c r="C655" s="260"/>
      <c r="D655" s="73"/>
      <c r="E655" s="209"/>
      <c r="F655" s="209"/>
      <c r="G655" s="209"/>
      <c r="H655" s="209"/>
      <c r="I655" s="209"/>
      <c r="J655" s="209"/>
      <c r="K655" s="209"/>
      <c r="L655" s="209"/>
      <c r="M655" s="209"/>
      <c r="N655" s="209"/>
      <c r="O655" s="209"/>
      <c r="P655" s="209"/>
    </row>
    <row r="656" spans="1:16" ht="11.25" customHeight="1" x14ac:dyDescent="0.2">
      <c r="A656" s="255"/>
      <c r="B656" s="259"/>
      <c r="C656" s="260"/>
      <c r="D656" s="73"/>
      <c r="E656" s="209"/>
      <c r="F656" s="209"/>
      <c r="G656" s="209"/>
      <c r="H656" s="209"/>
      <c r="I656" s="209"/>
      <c r="J656" s="209"/>
      <c r="K656" s="209"/>
      <c r="L656" s="209"/>
      <c r="M656" s="209"/>
      <c r="N656" s="209"/>
      <c r="O656" s="209"/>
      <c r="P656" s="209"/>
    </row>
    <row r="657" spans="1:16" ht="11.25" customHeight="1" x14ac:dyDescent="0.2">
      <c r="A657" s="255"/>
      <c r="B657" s="259"/>
      <c r="C657" s="260"/>
      <c r="D657" s="73"/>
      <c r="E657" s="209"/>
      <c r="F657" s="209"/>
      <c r="G657" s="209"/>
      <c r="H657" s="209"/>
      <c r="I657" s="209"/>
      <c r="J657" s="209"/>
      <c r="K657" s="209"/>
      <c r="L657" s="209"/>
      <c r="M657" s="209"/>
      <c r="N657" s="209"/>
      <c r="O657" s="209"/>
      <c r="P657" s="209"/>
    </row>
    <row r="658" spans="1:16" ht="11.25" customHeight="1" x14ac:dyDescent="0.2">
      <c r="A658" s="255"/>
      <c r="B658" s="259"/>
      <c r="C658" s="260"/>
      <c r="D658" s="73"/>
      <c r="E658" s="209"/>
      <c r="F658" s="209"/>
      <c r="G658" s="209"/>
      <c r="H658" s="209"/>
      <c r="I658" s="209"/>
      <c r="J658" s="209"/>
      <c r="K658" s="209"/>
      <c r="L658" s="209"/>
      <c r="M658" s="209"/>
      <c r="N658" s="209"/>
      <c r="O658" s="209"/>
      <c r="P658" s="209"/>
    </row>
    <row r="659" spans="1:16" ht="11.25" customHeight="1" x14ac:dyDescent="0.2">
      <c r="A659" s="255"/>
      <c r="B659" s="259"/>
      <c r="C659" s="260"/>
      <c r="D659" s="73"/>
      <c r="E659" s="209"/>
      <c r="F659" s="209"/>
      <c r="G659" s="209"/>
      <c r="H659" s="209"/>
      <c r="I659" s="209"/>
      <c r="J659" s="209"/>
      <c r="K659" s="209"/>
      <c r="L659" s="209"/>
      <c r="M659" s="209"/>
      <c r="N659" s="209"/>
      <c r="O659" s="209"/>
      <c r="P659" s="209"/>
    </row>
    <row r="660" spans="1:16" ht="11.25" customHeight="1" x14ac:dyDescent="0.2">
      <c r="A660" s="255"/>
      <c r="B660" s="259"/>
      <c r="C660" s="260"/>
      <c r="D660" s="73"/>
      <c r="E660" s="209"/>
      <c r="F660" s="209"/>
      <c r="G660" s="209"/>
      <c r="H660" s="209"/>
      <c r="I660" s="209"/>
      <c r="J660" s="209"/>
      <c r="K660" s="209"/>
      <c r="L660" s="209"/>
      <c r="M660" s="209"/>
      <c r="N660" s="209"/>
      <c r="O660" s="209"/>
      <c r="P660" s="209"/>
    </row>
    <row r="661" spans="1:16" ht="11.25" customHeight="1" x14ac:dyDescent="0.2">
      <c r="A661" s="255"/>
      <c r="B661" s="259"/>
      <c r="C661" s="260"/>
      <c r="D661" s="73"/>
      <c r="E661" s="209"/>
      <c r="F661" s="209"/>
      <c r="G661" s="209"/>
      <c r="H661" s="209"/>
      <c r="I661" s="209"/>
      <c r="J661" s="209"/>
      <c r="K661" s="209"/>
      <c r="L661" s="209"/>
      <c r="M661" s="209"/>
      <c r="N661" s="209"/>
      <c r="O661" s="209"/>
      <c r="P661" s="209"/>
    </row>
    <row r="662" spans="1:16" ht="11.25" customHeight="1" x14ac:dyDescent="0.2">
      <c r="A662" s="255"/>
      <c r="B662" s="259"/>
      <c r="C662" s="260"/>
      <c r="D662" s="73"/>
      <c r="E662" s="209"/>
      <c r="F662" s="209"/>
      <c r="G662" s="209"/>
      <c r="H662" s="209"/>
      <c r="I662" s="209"/>
      <c r="J662" s="209"/>
      <c r="K662" s="209"/>
      <c r="L662" s="209"/>
      <c r="M662" s="209"/>
      <c r="N662" s="209"/>
      <c r="O662" s="209"/>
      <c r="P662" s="209"/>
    </row>
    <row r="663" spans="1:16" ht="11.25" customHeight="1" x14ac:dyDescent="0.2">
      <c r="A663" s="255"/>
      <c r="B663" s="259"/>
      <c r="C663" s="260"/>
      <c r="D663" s="73"/>
      <c r="E663" s="209"/>
      <c r="F663" s="209"/>
      <c r="G663" s="209"/>
      <c r="H663" s="209"/>
      <c r="I663" s="209"/>
      <c r="J663" s="209"/>
      <c r="K663" s="209"/>
      <c r="L663" s="209"/>
      <c r="M663" s="209"/>
      <c r="N663" s="209"/>
      <c r="O663" s="209"/>
      <c r="P663" s="209"/>
    </row>
    <row r="664" spans="1:16" ht="11.25" customHeight="1" x14ac:dyDescent="0.2">
      <c r="A664" s="255"/>
      <c r="B664" s="259"/>
      <c r="C664" s="260"/>
      <c r="D664" s="73"/>
      <c r="E664" s="209"/>
      <c r="F664" s="209"/>
      <c r="G664" s="209"/>
      <c r="H664" s="209"/>
      <c r="I664" s="209"/>
      <c r="J664" s="209"/>
      <c r="K664" s="209"/>
      <c r="L664" s="209"/>
      <c r="M664" s="209"/>
      <c r="N664" s="209"/>
      <c r="O664" s="209"/>
      <c r="P664" s="209"/>
    </row>
    <row r="665" spans="1:16" ht="11.25" customHeight="1" x14ac:dyDescent="0.2">
      <c r="A665" s="255"/>
      <c r="B665" s="259"/>
      <c r="C665" s="260"/>
      <c r="D665" s="73"/>
      <c r="E665" s="209"/>
      <c r="F665" s="209"/>
      <c r="G665" s="209"/>
      <c r="H665" s="209"/>
      <c r="I665" s="209"/>
      <c r="J665" s="209"/>
      <c r="K665" s="209"/>
      <c r="L665" s="209"/>
      <c r="M665" s="209"/>
      <c r="N665" s="209"/>
      <c r="O665" s="209"/>
      <c r="P665" s="209"/>
    </row>
    <row r="666" spans="1:16" ht="11.25" customHeight="1" x14ac:dyDescent="0.2">
      <c r="A666" s="255"/>
      <c r="B666" s="259"/>
      <c r="C666" s="260"/>
      <c r="D666" s="73"/>
      <c r="E666" s="209"/>
      <c r="F666" s="209"/>
      <c r="G666" s="209"/>
      <c r="H666" s="209"/>
      <c r="I666" s="209"/>
      <c r="J666" s="209"/>
      <c r="K666" s="209"/>
      <c r="L666" s="209"/>
      <c r="M666" s="209"/>
      <c r="N666" s="209"/>
      <c r="O666" s="209"/>
      <c r="P666" s="209"/>
    </row>
    <row r="667" spans="1:16" ht="11.25" customHeight="1" x14ac:dyDescent="0.2">
      <c r="A667" s="255"/>
      <c r="B667" s="259"/>
      <c r="C667" s="260"/>
      <c r="D667" s="73"/>
      <c r="E667" s="209"/>
      <c r="F667" s="209"/>
      <c r="G667" s="209"/>
      <c r="H667" s="209"/>
      <c r="I667" s="209"/>
      <c r="J667" s="209"/>
      <c r="K667" s="209"/>
      <c r="L667" s="209"/>
      <c r="M667" s="209"/>
      <c r="N667" s="209"/>
      <c r="O667" s="209"/>
      <c r="P667" s="209"/>
    </row>
    <row r="668" spans="1:16" ht="11.25" customHeight="1" x14ac:dyDescent="0.2">
      <c r="A668" s="255"/>
      <c r="B668" s="259"/>
      <c r="C668" s="260"/>
      <c r="D668" s="73"/>
      <c r="E668" s="209"/>
      <c r="F668" s="209"/>
      <c r="G668" s="209"/>
      <c r="H668" s="209"/>
      <c r="I668" s="209"/>
      <c r="J668" s="209"/>
      <c r="K668" s="209"/>
      <c r="L668" s="209"/>
      <c r="M668" s="209"/>
      <c r="N668" s="209"/>
      <c r="O668" s="209"/>
      <c r="P668" s="209"/>
    </row>
    <row r="669" spans="1:16" ht="11.25" customHeight="1" x14ac:dyDescent="0.2">
      <c r="A669" s="255"/>
      <c r="B669" s="259"/>
      <c r="C669" s="260"/>
      <c r="D669" s="73"/>
      <c r="E669" s="209"/>
      <c r="F669" s="209"/>
      <c r="G669" s="209"/>
      <c r="H669" s="209"/>
      <c r="I669" s="209"/>
      <c r="J669" s="209"/>
      <c r="K669" s="209"/>
      <c r="L669" s="209"/>
      <c r="M669" s="209"/>
      <c r="N669" s="209"/>
      <c r="O669" s="209"/>
      <c r="P669" s="209"/>
    </row>
    <row r="670" spans="1:16" ht="11.25" customHeight="1" x14ac:dyDescent="0.2">
      <c r="A670" s="255"/>
      <c r="B670" s="259"/>
      <c r="C670" s="260"/>
      <c r="D670" s="73"/>
      <c r="E670" s="209"/>
      <c r="F670" s="209"/>
      <c r="G670" s="209"/>
      <c r="H670" s="209"/>
      <c r="I670" s="209"/>
      <c r="J670" s="209"/>
      <c r="K670" s="209"/>
      <c r="L670" s="209"/>
      <c r="M670" s="209"/>
      <c r="N670" s="209"/>
      <c r="O670" s="209"/>
      <c r="P670" s="209"/>
    </row>
    <row r="671" spans="1:16" ht="11.25" customHeight="1" x14ac:dyDescent="0.2">
      <c r="A671" s="255"/>
      <c r="B671" s="259"/>
      <c r="C671" s="260"/>
      <c r="D671" s="73"/>
      <c r="E671" s="209"/>
      <c r="F671" s="209"/>
      <c r="G671" s="209"/>
      <c r="H671" s="209"/>
      <c r="I671" s="209"/>
      <c r="J671" s="209"/>
      <c r="K671" s="209"/>
      <c r="L671" s="209"/>
      <c r="M671" s="209"/>
      <c r="N671" s="209"/>
      <c r="O671" s="209"/>
      <c r="P671" s="209"/>
    </row>
    <row r="672" spans="1:16" ht="11.25" customHeight="1" x14ac:dyDescent="0.2">
      <c r="A672" s="255"/>
      <c r="B672" s="259"/>
      <c r="C672" s="260"/>
      <c r="D672" s="73"/>
      <c r="E672" s="209"/>
      <c r="F672" s="209"/>
      <c r="G672" s="209"/>
      <c r="H672" s="209"/>
      <c r="I672" s="209"/>
      <c r="J672" s="209"/>
      <c r="K672" s="209"/>
      <c r="L672" s="209"/>
      <c r="M672" s="209"/>
      <c r="N672" s="209"/>
      <c r="O672" s="209"/>
      <c r="P672" s="209"/>
    </row>
    <row r="673" spans="1:16" ht="11.25" customHeight="1" x14ac:dyDescent="0.2">
      <c r="A673" s="255"/>
      <c r="B673" s="259"/>
      <c r="C673" s="260"/>
      <c r="D673" s="73"/>
      <c r="E673" s="209"/>
      <c r="F673" s="209"/>
      <c r="G673" s="209"/>
      <c r="H673" s="209"/>
      <c r="I673" s="209"/>
      <c r="J673" s="209"/>
      <c r="K673" s="209"/>
      <c r="L673" s="209"/>
      <c r="M673" s="209"/>
      <c r="N673" s="209"/>
      <c r="O673" s="209"/>
      <c r="P673" s="209"/>
    </row>
    <row r="674" spans="1:16" ht="11.25" customHeight="1" x14ac:dyDescent="0.2">
      <c r="A674" s="255"/>
      <c r="B674" s="259"/>
      <c r="C674" s="260"/>
      <c r="D674" s="73"/>
      <c r="E674" s="209"/>
      <c r="F674" s="209"/>
      <c r="G674" s="209"/>
      <c r="H674" s="209"/>
      <c r="I674" s="209"/>
      <c r="J674" s="209"/>
      <c r="K674" s="209"/>
      <c r="L674" s="209"/>
      <c r="M674" s="209"/>
      <c r="N674" s="209"/>
      <c r="O674" s="209"/>
      <c r="P674" s="209"/>
    </row>
    <row r="675" spans="1:16" ht="11.25" customHeight="1" x14ac:dyDescent="0.2">
      <c r="A675" s="255"/>
      <c r="B675" s="259"/>
      <c r="C675" s="260"/>
      <c r="D675" s="73"/>
      <c r="E675" s="209"/>
      <c r="F675" s="209"/>
      <c r="G675" s="209"/>
      <c r="H675" s="209"/>
      <c r="I675" s="209"/>
      <c r="J675" s="209"/>
      <c r="K675" s="209"/>
      <c r="L675" s="209"/>
      <c r="M675" s="209"/>
      <c r="N675" s="209"/>
      <c r="O675" s="209"/>
      <c r="P675" s="209"/>
    </row>
    <row r="676" spans="1:16" ht="11.25" customHeight="1" x14ac:dyDescent="0.2">
      <c r="A676" s="255"/>
      <c r="B676" s="259"/>
      <c r="C676" s="260"/>
      <c r="D676" s="73"/>
      <c r="E676" s="209"/>
      <c r="F676" s="209"/>
      <c r="G676" s="209"/>
      <c r="H676" s="209"/>
      <c r="I676" s="209"/>
      <c r="J676" s="209"/>
      <c r="K676" s="209"/>
      <c r="L676" s="209"/>
      <c r="M676" s="209"/>
      <c r="N676" s="209"/>
      <c r="O676" s="209"/>
      <c r="P676" s="209"/>
    </row>
    <row r="677" spans="1:16" ht="11.25" customHeight="1" x14ac:dyDescent="0.2">
      <c r="A677" s="255"/>
      <c r="B677" s="259"/>
      <c r="C677" s="260"/>
      <c r="D677" s="73"/>
      <c r="E677" s="209"/>
      <c r="F677" s="209"/>
      <c r="G677" s="209"/>
      <c r="H677" s="209"/>
      <c r="I677" s="209"/>
      <c r="J677" s="209"/>
      <c r="K677" s="209"/>
      <c r="L677" s="209"/>
      <c r="M677" s="209"/>
      <c r="N677" s="209"/>
      <c r="O677" s="209"/>
      <c r="P677" s="209"/>
    </row>
    <row r="678" spans="1:16" ht="11.25" customHeight="1" x14ac:dyDescent="0.2">
      <c r="A678" s="255"/>
      <c r="B678" s="259"/>
      <c r="C678" s="260"/>
      <c r="D678" s="73"/>
      <c r="E678" s="209"/>
      <c r="F678" s="209"/>
      <c r="G678" s="209"/>
      <c r="H678" s="209"/>
      <c r="I678" s="209"/>
      <c r="J678" s="209"/>
      <c r="K678" s="209"/>
      <c r="L678" s="209"/>
      <c r="M678" s="209"/>
      <c r="N678" s="209"/>
      <c r="O678" s="209"/>
      <c r="P678" s="209"/>
    </row>
    <row r="679" spans="1:16" ht="11.25" customHeight="1" x14ac:dyDescent="0.2">
      <c r="A679" s="255"/>
      <c r="B679" s="259"/>
      <c r="C679" s="260"/>
      <c r="D679" s="73"/>
      <c r="E679" s="209"/>
      <c r="F679" s="209"/>
      <c r="G679" s="209"/>
      <c r="H679" s="209"/>
      <c r="I679" s="209"/>
      <c r="J679" s="209"/>
      <c r="K679" s="209"/>
      <c r="L679" s="209"/>
      <c r="M679" s="209"/>
      <c r="N679" s="209"/>
      <c r="O679" s="209"/>
      <c r="P679" s="209"/>
    </row>
    <row r="680" spans="1:16" ht="11.25" customHeight="1" x14ac:dyDescent="0.2">
      <c r="A680" s="255"/>
      <c r="B680" s="259"/>
      <c r="C680" s="260"/>
      <c r="D680" s="73"/>
      <c r="E680" s="209"/>
      <c r="F680" s="209"/>
      <c r="G680" s="209"/>
      <c r="H680" s="209"/>
      <c r="I680" s="209"/>
      <c r="J680" s="209"/>
      <c r="K680" s="209"/>
      <c r="L680" s="209"/>
      <c r="M680" s="209"/>
      <c r="N680" s="209"/>
      <c r="O680" s="209"/>
      <c r="P680" s="209"/>
    </row>
    <row r="681" spans="1:16" ht="11.25" customHeight="1" x14ac:dyDescent="0.2">
      <c r="A681" s="255"/>
      <c r="B681" s="259"/>
      <c r="C681" s="260"/>
      <c r="D681" s="73"/>
      <c r="E681" s="209"/>
      <c r="F681" s="209"/>
      <c r="G681" s="209"/>
      <c r="H681" s="209"/>
      <c r="I681" s="209"/>
      <c r="J681" s="209"/>
      <c r="K681" s="209"/>
      <c r="L681" s="209"/>
      <c r="M681" s="209"/>
      <c r="N681" s="209"/>
      <c r="O681" s="209"/>
      <c r="P681" s="209"/>
    </row>
    <row r="682" spans="1:16" ht="11.25" customHeight="1" x14ac:dyDescent="0.2">
      <c r="A682" s="255"/>
      <c r="B682" s="259"/>
      <c r="C682" s="260"/>
      <c r="D682" s="73"/>
      <c r="E682" s="209"/>
      <c r="F682" s="209"/>
      <c r="G682" s="209"/>
      <c r="H682" s="209"/>
      <c r="I682" s="209"/>
      <c r="J682" s="209"/>
      <c r="K682" s="209"/>
      <c r="L682" s="209"/>
      <c r="M682" s="209"/>
      <c r="N682" s="209"/>
      <c r="O682" s="209"/>
      <c r="P682" s="209"/>
    </row>
    <row r="683" spans="1:16" ht="11.25" customHeight="1" x14ac:dyDescent="0.2">
      <c r="A683" s="255"/>
      <c r="B683" s="259"/>
      <c r="C683" s="260"/>
      <c r="D683" s="73"/>
      <c r="E683" s="209"/>
      <c r="F683" s="209"/>
      <c r="G683" s="209"/>
      <c r="H683" s="209"/>
      <c r="I683" s="209"/>
      <c r="J683" s="209"/>
      <c r="K683" s="209"/>
      <c r="L683" s="209"/>
      <c r="M683" s="209"/>
      <c r="N683" s="209"/>
      <c r="O683" s="209"/>
      <c r="P683" s="209"/>
    </row>
    <row r="684" spans="1:16" ht="11.25" customHeight="1" x14ac:dyDescent="0.2">
      <c r="A684" s="255"/>
      <c r="B684" s="259"/>
      <c r="C684" s="260"/>
      <c r="D684" s="73"/>
      <c r="E684" s="209"/>
      <c r="F684" s="209"/>
      <c r="G684" s="209"/>
      <c r="H684" s="209"/>
      <c r="I684" s="209"/>
      <c r="J684" s="209"/>
      <c r="K684" s="209"/>
      <c r="L684" s="209"/>
      <c r="M684" s="209"/>
      <c r="N684" s="209"/>
      <c r="O684" s="209"/>
      <c r="P684" s="209"/>
    </row>
    <row r="685" spans="1:16" ht="11.25" customHeight="1" x14ac:dyDescent="0.2">
      <c r="A685" s="255"/>
      <c r="B685" s="259"/>
      <c r="C685" s="260"/>
      <c r="D685" s="73"/>
      <c r="E685" s="209"/>
      <c r="F685" s="209"/>
      <c r="G685" s="209"/>
      <c r="H685" s="209"/>
      <c r="I685" s="209"/>
      <c r="J685" s="209"/>
      <c r="K685" s="209"/>
      <c r="L685" s="209"/>
      <c r="M685" s="209"/>
      <c r="N685" s="209"/>
      <c r="O685" s="209"/>
      <c r="P685" s="209"/>
    </row>
    <row r="686" spans="1:16" ht="11.25" customHeight="1" x14ac:dyDescent="0.2">
      <c r="A686" s="255"/>
      <c r="B686" s="259"/>
      <c r="C686" s="260"/>
      <c r="D686" s="73"/>
      <c r="E686" s="209"/>
      <c r="F686" s="209"/>
      <c r="G686" s="209"/>
      <c r="H686" s="209"/>
      <c r="I686" s="209"/>
      <c r="J686" s="209"/>
      <c r="K686" s="209"/>
      <c r="L686" s="209"/>
      <c r="M686" s="209"/>
      <c r="N686" s="209"/>
      <c r="O686" s="209"/>
      <c r="P686" s="209"/>
    </row>
    <row r="687" spans="1:16" ht="11.25" customHeight="1" x14ac:dyDescent="0.2">
      <c r="A687" s="255"/>
      <c r="B687" s="259"/>
      <c r="C687" s="260"/>
      <c r="D687" s="73"/>
      <c r="E687" s="209"/>
      <c r="F687" s="209"/>
      <c r="G687" s="209"/>
      <c r="H687" s="209"/>
      <c r="I687" s="209"/>
      <c r="J687" s="209"/>
      <c r="K687" s="209"/>
      <c r="L687" s="209"/>
      <c r="M687" s="209"/>
      <c r="N687" s="209"/>
      <c r="O687" s="209"/>
      <c r="P687" s="209"/>
    </row>
    <row r="688" spans="1:16" ht="11.25" customHeight="1" x14ac:dyDescent="0.2">
      <c r="A688" s="255"/>
      <c r="B688" s="259"/>
      <c r="C688" s="260"/>
      <c r="D688" s="73"/>
      <c r="E688" s="209"/>
      <c r="F688" s="209"/>
      <c r="G688" s="209"/>
      <c r="H688" s="209"/>
      <c r="I688" s="209"/>
      <c r="J688" s="209"/>
      <c r="K688" s="209"/>
      <c r="L688" s="209"/>
      <c r="M688" s="209"/>
      <c r="N688" s="209"/>
      <c r="O688" s="209"/>
      <c r="P688" s="209"/>
    </row>
    <row r="689" spans="1:16" ht="11.25" customHeight="1" x14ac:dyDescent="0.2">
      <c r="A689" s="255"/>
      <c r="B689" s="259"/>
      <c r="C689" s="260"/>
      <c r="D689" s="73"/>
      <c r="E689" s="209"/>
      <c r="F689" s="209"/>
      <c r="G689" s="209"/>
      <c r="H689" s="209"/>
      <c r="I689" s="209"/>
      <c r="J689" s="209"/>
      <c r="K689" s="209"/>
      <c r="L689" s="209"/>
      <c r="M689" s="209"/>
      <c r="N689" s="209"/>
      <c r="O689" s="209"/>
      <c r="P689" s="209"/>
    </row>
    <row r="690" spans="1:16" ht="11.25" customHeight="1" x14ac:dyDescent="0.2">
      <c r="A690" s="255"/>
      <c r="B690" s="259"/>
      <c r="C690" s="260"/>
      <c r="D690" s="73"/>
      <c r="E690" s="209"/>
      <c r="F690" s="209"/>
      <c r="G690" s="209"/>
      <c r="H690" s="209"/>
      <c r="I690" s="209"/>
      <c r="J690" s="209"/>
      <c r="K690" s="209"/>
      <c r="L690" s="209"/>
      <c r="M690" s="209"/>
      <c r="N690" s="209"/>
      <c r="O690" s="209"/>
      <c r="P690" s="209"/>
    </row>
    <row r="691" spans="1:16" ht="11.25" customHeight="1" x14ac:dyDescent="0.2">
      <c r="A691" s="255"/>
      <c r="B691" s="259"/>
      <c r="C691" s="260"/>
      <c r="D691" s="73"/>
      <c r="E691" s="209"/>
      <c r="F691" s="209"/>
      <c r="G691" s="209"/>
      <c r="H691" s="209"/>
      <c r="I691" s="209"/>
      <c r="J691" s="209"/>
      <c r="K691" s="209"/>
      <c r="L691" s="209"/>
      <c r="M691" s="209"/>
      <c r="N691" s="209"/>
      <c r="O691" s="209"/>
      <c r="P691" s="209"/>
    </row>
    <row r="692" spans="1:16" ht="11.25" customHeight="1" x14ac:dyDescent="0.2">
      <c r="A692" s="255"/>
      <c r="B692" s="259"/>
      <c r="C692" s="260"/>
      <c r="D692" s="73"/>
      <c r="E692" s="209"/>
      <c r="F692" s="209"/>
      <c r="G692" s="209"/>
      <c r="H692" s="209"/>
      <c r="I692" s="209"/>
      <c r="J692" s="209"/>
      <c r="K692" s="209"/>
      <c r="L692" s="209"/>
      <c r="M692" s="209"/>
      <c r="N692" s="209"/>
      <c r="O692" s="209"/>
      <c r="P692" s="209"/>
    </row>
    <row r="693" spans="1:16" ht="11.25" customHeight="1" x14ac:dyDescent="0.2">
      <c r="A693" s="255"/>
      <c r="B693" s="259"/>
      <c r="C693" s="260"/>
      <c r="D693" s="73"/>
      <c r="E693" s="209"/>
      <c r="F693" s="209"/>
      <c r="G693" s="209"/>
      <c r="H693" s="209"/>
      <c r="I693" s="209"/>
      <c r="J693" s="209"/>
      <c r="K693" s="209"/>
      <c r="L693" s="209"/>
      <c r="M693" s="209"/>
      <c r="N693" s="209"/>
      <c r="O693" s="209"/>
      <c r="P693" s="209"/>
    </row>
    <row r="694" spans="1:16" ht="11.25" customHeight="1" x14ac:dyDescent="0.2">
      <c r="A694" s="255"/>
      <c r="B694" s="259"/>
      <c r="C694" s="260"/>
      <c r="D694" s="73"/>
      <c r="E694" s="209"/>
      <c r="F694" s="209"/>
      <c r="G694" s="209"/>
      <c r="H694" s="209"/>
      <c r="I694" s="209"/>
      <c r="J694" s="209"/>
      <c r="K694" s="209"/>
      <c r="L694" s="209"/>
      <c r="M694" s="209"/>
      <c r="N694" s="209"/>
      <c r="O694" s="209"/>
      <c r="P694" s="209"/>
    </row>
    <row r="695" spans="1:16" ht="11.25" customHeight="1" x14ac:dyDescent="0.2">
      <c r="A695" s="255"/>
      <c r="B695" s="259"/>
      <c r="C695" s="260"/>
      <c r="D695" s="73"/>
      <c r="E695" s="209"/>
      <c r="F695" s="209"/>
      <c r="G695" s="209"/>
      <c r="H695" s="209"/>
      <c r="I695" s="209"/>
      <c r="J695" s="209"/>
      <c r="K695" s="209"/>
      <c r="L695" s="209"/>
      <c r="M695" s="209"/>
      <c r="N695" s="209"/>
      <c r="O695" s="209"/>
      <c r="P695" s="209"/>
    </row>
    <row r="696" spans="1:16" ht="11.25" customHeight="1" x14ac:dyDescent="0.2">
      <c r="A696" s="255"/>
      <c r="B696" s="259"/>
      <c r="C696" s="260"/>
      <c r="D696" s="73"/>
      <c r="E696" s="209"/>
      <c r="F696" s="209"/>
      <c r="G696" s="209"/>
      <c r="H696" s="209"/>
      <c r="I696" s="209"/>
      <c r="J696" s="209"/>
      <c r="K696" s="209"/>
      <c r="L696" s="209"/>
      <c r="M696" s="209"/>
      <c r="N696" s="209"/>
      <c r="O696" s="209"/>
      <c r="P696" s="209"/>
    </row>
    <row r="697" spans="1:16" ht="11.25" customHeight="1" x14ac:dyDescent="0.2">
      <c r="A697" s="255"/>
      <c r="B697" s="259"/>
      <c r="C697" s="260"/>
      <c r="D697" s="73"/>
      <c r="E697" s="209"/>
      <c r="F697" s="209"/>
      <c r="G697" s="209"/>
      <c r="H697" s="209"/>
      <c r="I697" s="209"/>
      <c r="J697" s="209"/>
      <c r="K697" s="209"/>
      <c r="L697" s="209"/>
      <c r="M697" s="209"/>
      <c r="N697" s="209"/>
      <c r="O697" s="209"/>
      <c r="P697" s="209"/>
    </row>
    <row r="698" spans="1:16" ht="11.25" customHeight="1" x14ac:dyDescent="0.2">
      <c r="A698" s="255"/>
      <c r="B698" s="259"/>
      <c r="C698" s="260"/>
      <c r="D698" s="73"/>
      <c r="E698" s="209"/>
      <c r="F698" s="209"/>
      <c r="G698" s="209"/>
      <c r="H698" s="209"/>
      <c r="I698" s="209"/>
      <c r="J698" s="209"/>
      <c r="K698" s="209"/>
      <c r="L698" s="209"/>
      <c r="M698" s="209"/>
      <c r="N698" s="209"/>
      <c r="O698" s="209"/>
      <c r="P698" s="209"/>
    </row>
    <row r="699" spans="1:16" ht="11.25" customHeight="1" x14ac:dyDescent="0.2">
      <c r="A699" s="255"/>
      <c r="B699" s="259"/>
      <c r="C699" s="260"/>
      <c r="D699" s="73"/>
      <c r="E699" s="209"/>
      <c r="F699" s="209"/>
      <c r="G699" s="209"/>
      <c r="H699" s="209"/>
      <c r="I699" s="209"/>
      <c r="J699" s="209"/>
      <c r="K699" s="209"/>
      <c r="L699" s="209"/>
      <c r="M699" s="209"/>
      <c r="N699" s="209"/>
      <c r="O699" s="209"/>
      <c r="P699" s="209"/>
    </row>
    <row r="700" spans="1:16" ht="11.25" customHeight="1" x14ac:dyDescent="0.2">
      <c r="A700" s="255"/>
      <c r="B700" s="259"/>
      <c r="C700" s="260"/>
      <c r="D700" s="73"/>
      <c r="E700" s="209"/>
      <c r="F700" s="209"/>
      <c r="G700" s="209"/>
      <c r="H700" s="209"/>
      <c r="I700" s="209"/>
      <c r="J700" s="209"/>
      <c r="K700" s="209"/>
      <c r="L700" s="209"/>
      <c r="M700" s="209"/>
      <c r="N700" s="209"/>
      <c r="O700" s="209"/>
      <c r="P700" s="209"/>
    </row>
    <row r="701" spans="1:16" ht="11.25" customHeight="1" x14ac:dyDescent="0.2">
      <c r="A701" s="255"/>
      <c r="B701" s="259"/>
      <c r="C701" s="260"/>
      <c r="D701" s="73"/>
      <c r="E701" s="209"/>
      <c r="F701" s="209"/>
      <c r="G701" s="209"/>
      <c r="H701" s="209"/>
      <c r="I701" s="209"/>
      <c r="J701" s="209"/>
      <c r="K701" s="209"/>
      <c r="L701" s="209"/>
      <c r="M701" s="209"/>
      <c r="N701" s="209"/>
      <c r="O701" s="209"/>
      <c r="P701" s="209"/>
    </row>
    <row r="702" spans="1:16" ht="11.25" customHeight="1" x14ac:dyDescent="0.2">
      <c r="A702" s="255"/>
      <c r="B702" s="259"/>
      <c r="C702" s="260"/>
      <c r="D702" s="73"/>
      <c r="E702" s="209"/>
      <c r="F702" s="209"/>
      <c r="G702" s="209"/>
      <c r="H702" s="209"/>
      <c r="I702" s="209"/>
      <c r="J702" s="209"/>
      <c r="K702" s="209"/>
      <c r="L702" s="209"/>
      <c r="M702" s="209"/>
      <c r="N702" s="209"/>
      <c r="O702" s="209"/>
      <c r="P702" s="209"/>
    </row>
    <row r="703" spans="1:16" ht="11.25" customHeight="1" x14ac:dyDescent="0.2">
      <c r="A703" s="255"/>
      <c r="B703" s="259"/>
      <c r="C703" s="260"/>
      <c r="D703" s="73"/>
      <c r="E703" s="209"/>
      <c r="F703" s="209"/>
      <c r="G703" s="209"/>
      <c r="H703" s="209"/>
      <c r="I703" s="209"/>
      <c r="J703" s="209"/>
      <c r="K703" s="209"/>
      <c r="L703" s="209"/>
      <c r="M703" s="209"/>
      <c r="N703" s="209"/>
      <c r="O703" s="209"/>
      <c r="P703" s="209"/>
    </row>
    <row r="704" spans="1:16" ht="11.25" customHeight="1" x14ac:dyDescent="0.2">
      <c r="A704" s="255"/>
      <c r="B704" s="259"/>
      <c r="C704" s="260"/>
      <c r="D704" s="73"/>
      <c r="E704" s="209"/>
      <c r="F704" s="209"/>
      <c r="G704" s="209"/>
      <c r="H704" s="209"/>
      <c r="I704" s="209"/>
      <c r="J704" s="209"/>
      <c r="K704" s="209"/>
      <c r="L704" s="209"/>
      <c r="M704" s="209"/>
      <c r="N704" s="209"/>
      <c r="O704" s="209"/>
      <c r="P704" s="209"/>
    </row>
    <row r="705" spans="1:16" ht="11.25" customHeight="1" x14ac:dyDescent="0.2">
      <c r="A705" s="255"/>
      <c r="B705" s="259"/>
      <c r="C705" s="260"/>
      <c r="D705" s="73"/>
      <c r="E705" s="209"/>
      <c r="F705" s="209"/>
      <c r="G705" s="209"/>
      <c r="H705" s="209"/>
      <c r="I705" s="209"/>
      <c r="J705" s="209"/>
      <c r="K705" s="209"/>
      <c r="L705" s="209"/>
      <c r="M705" s="209"/>
      <c r="N705" s="209"/>
      <c r="O705" s="209"/>
      <c r="P705" s="209"/>
    </row>
    <row r="706" spans="1:16" ht="11.25" customHeight="1" x14ac:dyDescent="0.2">
      <c r="A706" s="255"/>
      <c r="B706" s="259"/>
      <c r="C706" s="260"/>
      <c r="D706" s="73"/>
      <c r="E706" s="209"/>
      <c r="F706" s="209"/>
      <c r="G706" s="209"/>
      <c r="H706" s="209"/>
      <c r="I706" s="209"/>
      <c r="J706" s="209"/>
      <c r="K706" s="209"/>
      <c r="L706" s="209"/>
      <c r="M706" s="209"/>
      <c r="N706" s="209"/>
      <c r="O706" s="209"/>
      <c r="P706" s="209"/>
    </row>
    <row r="707" spans="1:16" ht="11.25" customHeight="1" x14ac:dyDescent="0.2">
      <c r="A707" s="255"/>
      <c r="B707" s="259"/>
      <c r="C707" s="260"/>
      <c r="D707" s="73"/>
      <c r="E707" s="209"/>
      <c r="F707" s="209"/>
      <c r="G707" s="209"/>
      <c r="H707" s="209"/>
      <c r="I707" s="209"/>
      <c r="J707" s="209"/>
      <c r="K707" s="209"/>
      <c r="L707" s="209"/>
      <c r="M707" s="209"/>
      <c r="N707" s="209"/>
      <c r="O707" s="209"/>
      <c r="P707" s="209"/>
    </row>
    <row r="708" spans="1:16" ht="11.25" customHeight="1" x14ac:dyDescent="0.2">
      <c r="A708" s="255"/>
      <c r="B708" s="259"/>
      <c r="C708" s="260"/>
      <c r="D708" s="73"/>
      <c r="E708" s="209"/>
      <c r="F708" s="209"/>
      <c r="G708" s="209"/>
      <c r="H708" s="209"/>
      <c r="I708" s="209"/>
      <c r="J708" s="209"/>
      <c r="K708" s="209"/>
      <c r="L708" s="209"/>
      <c r="M708" s="209"/>
      <c r="N708" s="209"/>
      <c r="O708" s="209"/>
      <c r="P708" s="209"/>
    </row>
    <row r="709" spans="1:16" ht="11.25" customHeight="1" x14ac:dyDescent="0.2">
      <c r="A709" s="255"/>
      <c r="B709" s="259"/>
      <c r="C709" s="260"/>
      <c r="D709" s="73"/>
      <c r="E709" s="209"/>
      <c r="F709" s="209"/>
      <c r="G709" s="209"/>
      <c r="H709" s="209"/>
      <c r="I709" s="209"/>
      <c r="J709" s="209"/>
      <c r="K709" s="209"/>
      <c r="L709" s="209"/>
      <c r="M709" s="209"/>
      <c r="N709" s="209"/>
      <c r="O709" s="209"/>
      <c r="P709" s="209"/>
    </row>
    <row r="710" spans="1:16" ht="11.25" customHeight="1" x14ac:dyDescent="0.2">
      <c r="A710" s="255"/>
      <c r="B710" s="259"/>
      <c r="C710" s="260"/>
      <c r="D710" s="73"/>
      <c r="E710" s="209"/>
      <c r="F710" s="209"/>
      <c r="G710" s="209"/>
      <c r="H710" s="209"/>
      <c r="I710" s="209"/>
      <c r="J710" s="209"/>
      <c r="K710" s="209"/>
      <c r="L710" s="209"/>
      <c r="M710" s="209"/>
      <c r="N710" s="209"/>
      <c r="O710" s="209"/>
      <c r="P710" s="209"/>
    </row>
    <row r="711" spans="1:16" ht="11.25" customHeight="1" x14ac:dyDescent="0.2">
      <c r="A711" s="255"/>
      <c r="B711" s="259"/>
      <c r="C711" s="260"/>
      <c r="D711" s="73"/>
      <c r="E711" s="209"/>
      <c r="F711" s="209"/>
      <c r="G711" s="209"/>
      <c r="H711" s="209"/>
      <c r="I711" s="209"/>
      <c r="J711" s="209"/>
      <c r="K711" s="209"/>
      <c r="L711" s="209"/>
      <c r="M711" s="209"/>
      <c r="N711" s="209"/>
      <c r="O711" s="209"/>
      <c r="P711" s="209"/>
    </row>
    <row r="712" spans="1:16" ht="11.25" customHeight="1" x14ac:dyDescent="0.2">
      <c r="A712" s="255"/>
      <c r="B712" s="259"/>
      <c r="C712" s="260"/>
      <c r="D712" s="73"/>
      <c r="E712" s="209"/>
      <c r="F712" s="209"/>
      <c r="G712" s="209"/>
      <c r="H712" s="209"/>
      <c r="I712" s="209"/>
      <c r="J712" s="209"/>
      <c r="K712" s="209"/>
      <c r="L712" s="209"/>
      <c r="M712" s="209"/>
      <c r="N712" s="209"/>
      <c r="O712" s="209"/>
      <c r="P712" s="209"/>
    </row>
    <row r="713" spans="1:16" ht="11.25" customHeight="1" x14ac:dyDescent="0.2">
      <c r="A713" s="255"/>
      <c r="B713" s="259"/>
      <c r="C713" s="260"/>
      <c r="D713" s="73"/>
      <c r="E713" s="209"/>
      <c r="F713" s="209"/>
      <c r="G713" s="209"/>
      <c r="H713" s="209"/>
      <c r="I713" s="209"/>
      <c r="J713" s="209"/>
      <c r="K713" s="209"/>
      <c r="L713" s="209"/>
      <c r="M713" s="209"/>
      <c r="N713" s="209"/>
      <c r="O713" s="209"/>
      <c r="P713" s="209"/>
    </row>
    <row r="714" spans="1:16" ht="11.25" customHeight="1" x14ac:dyDescent="0.2">
      <c r="A714" s="255"/>
      <c r="B714" s="259"/>
      <c r="C714" s="260"/>
      <c r="D714" s="73"/>
      <c r="E714" s="209"/>
      <c r="F714" s="209"/>
      <c r="G714" s="209"/>
      <c r="H714" s="209"/>
      <c r="I714" s="209"/>
      <c r="J714" s="209"/>
      <c r="K714" s="209"/>
      <c r="L714" s="209"/>
      <c r="M714" s="209"/>
      <c r="N714" s="209"/>
      <c r="O714" s="209"/>
      <c r="P714" s="209"/>
    </row>
    <row r="715" spans="1:16" ht="11.25" customHeight="1" x14ac:dyDescent="0.2">
      <c r="A715" s="255"/>
      <c r="B715" s="259"/>
      <c r="C715" s="260"/>
      <c r="D715" s="73"/>
      <c r="E715" s="209"/>
      <c r="F715" s="209"/>
      <c r="G715" s="209"/>
      <c r="H715" s="209"/>
      <c r="I715" s="209"/>
      <c r="J715" s="209"/>
      <c r="K715" s="209"/>
      <c r="L715" s="209"/>
      <c r="M715" s="209"/>
      <c r="N715" s="209"/>
      <c r="O715" s="209"/>
      <c r="P715" s="209"/>
    </row>
    <row r="716" spans="1:16" ht="11.25" customHeight="1" x14ac:dyDescent="0.2">
      <c r="A716" s="255"/>
      <c r="B716" s="259"/>
      <c r="C716" s="260"/>
      <c r="D716" s="73"/>
      <c r="E716" s="209"/>
      <c r="F716" s="209"/>
      <c r="G716" s="209"/>
      <c r="H716" s="209"/>
      <c r="I716" s="209"/>
      <c r="J716" s="209"/>
      <c r="K716" s="209"/>
      <c r="L716" s="209"/>
      <c r="M716" s="209"/>
      <c r="N716" s="209"/>
      <c r="O716" s="209"/>
      <c r="P716" s="209"/>
    </row>
    <row r="717" spans="1:16" ht="11.25" customHeight="1" x14ac:dyDescent="0.2">
      <c r="A717" s="255"/>
      <c r="B717" s="259"/>
      <c r="C717" s="260"/>
      <c r="D717" s="73"/>
      <c r="E717" s="209"/>
      <c r="F717" s="209"/>
      <c r="G717" s="209"/>
      <c r="H717" s="209"/>
      <c r="I717" s="209"/>
      <c r="J717" s="209"/>
      <c r="K717" s="209"/>
      <c r="L717" s="209"/>
      <c r="M717" s="209"/>
      <c r="N717" s="209"/>
      <c r="O717" s="209"/>
      <c r="P717" s="209"/>
    </row>
    <row r="718" spans="1:16" ht="11.25" customHeight="1" x14ac:dyDescent="0.2">
      <c r="A718" s="255"/>
      <c r="B718" s="259"/>
      <c r="C718" s="260"/>
      <c r="D718" s="73"/>
      <c r="E718" s="209"/>
      <c r="F718" s="209"/>
      <c r="G718" s="209"/>
      <c r="H718" s="209"/>
      <c r="I718" s="209"/>
      <c r="J718" s="209"/>
      <c r="K718" s="209"/>
      <c r="L718" s="209"/>
      <c r="M718" s="209"/>
      <c r="N718" s="209"/>
      <c r="O718" s="209"/>
      <c r="P718" s="209"/>
    </row>
    <row r="719" spans="1:16" ht="11.25" customHeight="1" x14ac:dyDescent="0.2">
      <c r="A719" s="255"/>
      <c r="B719" s="259"/>
      <c r="C719" s="260"/>
      <c r="D719" s="73"/>
      <c r="E719" s="209"/>
      <c r="F719" s="209"/>
      <c r="G719" s="209"/>
      <c r="H719" s="209"/>
      <c r="I719" s="209"/>
      <c r="J719" s="209"/>
      <c r="K719" s="209"/>
      <c r="L719" s="209"/>
      <c r="M719" s="209"/>
      <c r="N719" s="209"/>
      <c r="O719" s="209"/>
      <c r="P719" s="209"/>
    </row>
    <row r="720" spans="1:16" ht="11.25" customHeight="1" x14ac:dyDescent="0.2">
      <c r="A720" s="255"/>
      <c r="B720" s="259"/>
      <c r="C720" s="260"/>
      <c r="D720" s="73"/>
      <c r="E720" s="209"/>
      <c r="F720" s="209"/>
      <c r="G720" s="209"/>
      <c r="H720" s="209"/>
      <c r="I720" s="209"/>
      <c r="J720" s="209"/>
      <c r="K720" s="209"/>
      <c r="L720" s="209"/>
      <c r="M720" s="209"/>
      <c r="N720" s="209"/>
      <c r="O720" s="209"/>
      <c r="P720" s="209"/>
    </row>
    <row r="721" spans="1:16" ht="11.25" customHeight="1" x14ac:dyDescent="0.2">
      <c r="A721" s="255"/>
      <c r="B721" s="259"/>
      <c r="C721" s="260"/>
      <c r="D721" s="73"/>
      <c r="E721" s="209"/>
      <c r="F721" s="209"/>
      <c r="G721" s="209"/>
      <c r="H721" s="209"/>
      <c r="I721" s="209"/>
      <c r="J721" s="209"/>
      <c r="K721" s="209"/>
      <c r="L721" s="209"/>
      <c r="M721" s="209"/>
      <c r="N721" s="209"/>
      <c r="O721" s="209"/>
      <c r="P721" s="209"/>
    </row>
    <row r="722" spans="1:16" ht="11.25" customHeight="1" x14ac:dyDescent="0.2">
      <c r="A722" s="255"/>
      <c r="B722" s="259"/>
      <c r="C722" s="260"/>
      <c r="D722" s="73"/>
      <c r="E722" s="209"/>
      <c r="F722" s="209"/>
      <c r="G722" s="209"/>
      <c r="H722" s="209"/>
      <c r="I722" s="209"/>
      <c r="J722" s="209"/>
      <c r="K722" s="209"/>
      <c r="L722" s="209"/>
      <c r="M722" s="209"/>
      <c r="N722" s="209"/>
      <c r="O722" s="209"/>
      <c r="P722" s="209"/>
    </row>
    <row r="723" spans="1:16" ht="11.25" customHeight="1" x14ac:dyDescent="0.2">
      <c r="A723" s="255"/>
      <c r="B723" s="259"/>
      <c r="C723" s="260"/>
      <c r="D723" s="73"/>
      <c r="E723" s="209"/>
      <c r="F723" s="209"/>
      <c r="G723" s="209"/>
      <c r="H723" s="209"/>
      <c r="I723" s="209"/>
      <c r="J723" s="209"/>
      <c r="K723" s="209"/>
      <c r="L723" s="209"/>
      <c r="M723" s="209"/>
      <c r="N723" s="209"/>
      <c r="O723" s="209"/>
      <c r="P723" s="209"/>
    </row>
    <row r="724" spans="1:16" ht="11.25" customHeight="1" x14ac:dyDescent="0.2">
      <c r="A724" s="255"/>
      <c r="B724" s="259"/>
      <c r="C724" s="260"/>
      <c r="D724" s="73"/>
      <c r="E724" s="209"/>
      <c r="F724" s="209"/>
      <c r="G724" s="209"/>
      <c r="H724" s="209"/>
      <c r="I724" s="209"/>
      <c r="J724" s="209"/>
      <c r="K724" s="209"/>
      <c r="L724" s="209"/>
      <c r="M724" s="209"/>
      <c r="N724" s="209"/>
      <c r="O724" s="209"/>
      <c r="P724" s="209"/>
    </row>
    <row r="725" spans="1:16" ht="11.25" customHeight="1" x14ac:dyDescent="0.2">
      <c r="A725" s="255"/>
      <c r="B725" s="259"/>
      <c r="C725" s="260"/>
      <c r="D725" s="73"/>
      <c r="E725" s="209"/>
      <c r="F725" s="209"/>
      <c r="G725" s="209"/>
      <c r="H725" s="209"/>
      <c r="I725" s="209"/>
      <c r="J725" s="209"/>
      <c r="K725" s="209"/>
      <c r="L725" s="209"/>
      <c r="M725" s="209"/>
      <c r="N725" s="209"/>
      <c r="O725" s="209"/>
      <c r="P725" s="209"/>
    </row>
    <row r="726" spans="1:16" ht="11.25" customHeight="1" x14ac:dyDescent="0.2">
      <c r="A726" s="255"/>
      <c r="B726" s="259"/>
      <c r="C726" s="260"/>
      <c r="D726" s="73"/>
      <c r="E726" s="209"/>
      <c r="F726" s="209"/>
      <c r="G726" s="209"/>
      <c r="H726" s="209"/>
      <c r="I726" s="209"/>
      <c r="J726" s="209"/>
      <c r="K726" s="209"/>
      <c r="L726" s="209"/>
      <c r="M726" s="209"/>
      <c r="N726" s="209"/>
      <c r="O726" s="209"/>
      <c r="P726" s="209"/>
    </row>
    <row r="727" spans="1:16" ht="11.25" customHeight="1" x14ac:dyDescent="0.2">
      <c r="A727" s="255"/>
      <c r="B727" s="259"/>
      <c r="C727" s="260"/>
      <c r="D727" s="73"/>
      <c r="E727" s="209"/>
      <c r="F727" s="209"/>
      <c r="G727" s="209"/>
      <c r="H727" s="209"/>
      <c r="I727" s="209"/>
      <c r="J727" s="209"/>
      <c r="K727" s="209"/>
      <c r="L727" s="209"/>
      <c r="M727" s="209"/>
      <c r="N727" s="209"/>
      <c r="O727" s="209"/>
      <c r="P727" s="209"/>
    </row>
    <row r="728" spans="1:16" ht="11.25" customHeight="1" x14ac:dyDescent="0.2">
      <c r="A728" s="255"/>
      <c r="B728" s="259"/>
      <c r="C728" s="260"/>
      <c r="D728" s="73"/>
      <c r="E728" s="209"/>
      <c r="F728" s="209"/>
      <c r="G728" s="209"/>
      <c r="H728" s="209"/>
      <c r="I728" s="209"/>
      <c r="J728" s="209"/>
      <c r="K728" s="209"/>
      <c r="L728" s="209"/>
      <c r="M728" s="209"/>
      <c r="N728" s="209"/>
      <c r="O728" s="209"/>
      <c r="P728" s="209"/>
    </row>
    <row r="729" spans="1:16" ht="11.25" customHeight="1" x14ac:dyDescent="0.2">
      <c r="A729" s="255"/>
      <c r="B729" s="259"/>
      <c r="C729" s="260"/>
      <c r="D729" s="73"/>
      <c r="E729" s="209"/>
      <c r="F729" s="209"/>
      <c r="G729" s="209"/>
      <c r="H729" s="209"/>
      <c r="I729" s="209"/>
      <c r="J729" s="209"/>
      <c r="K729" s="209"/>
      <c r="L729" s="209"/>
      <c r="M729" s="209"/>
      <c r="N729" s="209"/>
      <c r="O729" s="209"/>
      <c r="P729" s="209"/>
    </row>
    <row r="730" spans="1:16" ht="11.25" customHeight="1" x14ac:dyDescent="0.2">
      <c r="A730" s="255"/>
      <c r="B730" s="259"/>
      <c r="C730" s="260"/>
      <c r="D730" s="73"/>
      <c r="E730" s="209"/>
      <c r="F730" s="209"/>
      <c r="G730" s="209"/>
      <c r="H730" s="209"/>
      <c r="I730" s="209"/>
      <c r="J730" s="209"/>
      <c r="K730" s="209"/>
      <c r="L730" s="209"/>
      <c r="M730" s="209"/>
      <c r="N730" s="209"/>
      <c r="O730" s="209"/>
      <c r="P730" s="209"/>
    </row>
    <row r="731" spans="1:16" ht="11.25" customHeight="1" x14ac:dyDescent="0.2">
      <c r="A731" s="255"/>
      <c r="B731" s="259"/>
      <c r="C731" s="260"/>
      <c r="D731" s="73"/>
      <c r="E731" s="209"/>
      <c r="F731" s="209"/>
      <c r="G731" s="209"/>
      <c r="H731" s="209"/>
      <c r="I731" s="209"/>
      <c r="J731" s="209"/>
      <c r="K731" s="209"/>
      <c r="L731" s="209"/>
      <c r="M731" s="209"/>
      <c r="N731" s="209"/>
      <c r="O731" s="209"/>
      <c r="P731" s="209"/>
    </row>
    <row r="732" spans="1:16" ht="11.25" customHeight="1" x14ac:dyDescent="0.2">
      <c r="A732" s="255"/>
      <c r="B732" s="259"/>
      <c r="C732" s="260"/>
      <c r="D732" s="73"/>
      <c r="E732" s="209"/>
      <c r="F732" s="209"/>
      <c r="G732" s="209"/>
      <c r="H732" s="209"/>
      <c r="I732" s="209"/>
      <c r="J732" s="209"/>
      <c r="K732" s="209"/>
      <c r="L732" s="209"/>
      <c r="M732" s="209"/>
      <c r="N732" s="209"/>
      <c r="O732" s="209"/>
      <c r="P732" s="209"/>
    </row>
    <row r="733" spans="1:16" ht="11.25" customHeight="1" x14ac:dyDescent="0.2">
      <c r="A733" s="255"/>
      <c r="B733" s="259"/>
      <c r="C733" s="260"/>
      <c r="D733" s="73"/>
      <c r="E733" s="209"/>
      <c r="F733" s="209"/>
      <c r="G733" s="209"/>
      <c r="H733" s="209"/>
      <c r="I733" s="209"/>
      <c r="J733" s="209"/>
      <c r="K733" s="209"/>
      <c r="L733" s="209"/>
      <c r="M733" s="209"/>
      <c r="N733" s="209"/>
      <c r="O733" s="209"/>
      <c r="P733" s="209"/>
    </row>
    <row r="734" spans="1:16" ht="11.25" customHeight="1" x14ac:dyDescent="0.2">
      <c r="A734" s="255"/>
      <c r="B734" s="259"/>
      <c r="C734" s="260"/>
      <c r="D734" s="73"/>
      <c r="E734" s="209"/>
      <c r="F734" s="209"/>
      <c r="G734" s="209"/>
      <c r="H734" s="209"/>
      <c r="I734" s="209"/>
      <c r="J734" s="209"/>
      <c r="K734" s="209"/>
      <c r="L734" s="209"/>
      <c r="M734" s="209"/>
      <c r="N734" s="209"/>
      <c r="O734" s="209"/>
      <c r="P734" s="209"/>
    </row>
    <row r="735" spans="1:16" ht="11.25" customHeight="1" x14ac:dyDescent="0.2">
      <c r="A735" s="255"/>
      <c r="B735" s="259"/>
      <c r="C735" s="260"/>
      <c r="D735" s="73"/>
      <c r="E735" s="209"/>
      <c r="F735" s="209"/>
      <c r="G735" s="209"/>
      <c r="H735" s="209"/>
      <c r="I735" s="209"/>
      <c r="J735" s="209"/>
      <c r="K735" s="209"/>
      <c r="L735" s="209"/>
      <c r="M735" s="209"/>
      <c r="N735" s="209"/>
      <c r="O735" s="209"/>
      <c r="P735" s="209"/>
    </row>
    <row r="736" spans="1:16" ht="11.25" customHeight="1" x14ac:dyDescent="0.2">
      <c r="A736" s="255"/>
      <c r="B736" s="259"/>
      <c r="C736" s="260"/>
      <c r="D736" s="73"/>
      <c r="E736" s="209"/>
      <c r="F736" s="209"/>
      <c r="G736" s="209"/>
      <c r="H736" s="209"/>
      <c r="I736" s="209"/>
      <c r="J736" s="209"/>
      <c r="K736" s="209"/>
      <c r="L736" s="209"/>
      <c r="M736" s="209"/>
      <c r="N736" s="209"/>
      <c r="O736" s="209"/>
      <c r="P736" s="209"/>
    </row>
    <row r="737" spans="1:16" ht="11.25" customHeight="1" x14ac:dyDescent="0.2">
      <c r="A737" s="255"/>
      <c r="B737" s="259"/>
      <c r="C737" s="260"/>
      <c r="D737" s="73"/>
      <c r="E737" s="209"/>
      <c r="F737" s="209"/>
      <c r="G737" s="209"/>
      <c r="H737" s="209"/>
      <c r="I737" s="209"/>
      <c r="J737" s="209"/>
      <c r="K737" s="209"/>
      <c r="L737" s="209"/>
      <c r="M737" s="209"/>
      <c r="N737" s="209"/>
      <c r="O737" s="209"/>
      <c r="P737" s="209"/>
    </row>
    <row r="738" spans="1:16" ht="11.25" customHeight="1" x14ac:dyDescent="0.2">
      <c r="A738" s="255"/>
      <c r="B738" s="259"/>
      <c r="C738" s="260"/>
      <c r="D738" s="73"/>
      <c r="E738" s="209"/>
      <c r="F738" s="209"/>
      <c r="G738" s="209"/>
      <c r="H738" s="209"/>
      <c r="I738" s="209"/>
      <c r="J738" s="209"/>
      <c r="K738" s="209"/>
      <c r="L738" s="209"/>
      <c r="M738" s="209"/>
      <c r="N738" s="209"/>
      <c r="O738" s="209"/>
      <c r="P738" s="209"/>
    </row>
    <row r="739" spans="1:16" ht="11.25" customHeight="1" x14ac:dyDescent="0.2">
      <c r="A739" s="255"/>
      <c r="B739" s="259"/>
      <c r="C739" s="260"/>
      <c r="D739" s="73"/>
      <c r="E739" s="209"/>
      <c r="F739" s="209"/>
      <c r="G739" s="209"/>
      <c r="H739" s="209"/>
      <c r="I739" s="209"/>
      <c r="J739" s="209"/>
      <c r="K739" s="209"/>
      <c r="L739" s="209"/>
      <c r="M739" s="209"/>
      <c r="N739" s="209"/>
      <c r="O739" s="209"/>
      <c r="P739" s="209"/>
    </row>
    <row r="740" spans="1:16" ht="11.25" customHeight="1" x14ac:dyDescent="0.2">
      <c r="A740" s="255"/>
      <c r="B740" s="259"/>
      <c r="C740" s="260"/>
      <c r="D740" s="73"/>
      <c r="E740" s="209"/>
      <c r="F740" s="209"/>
      <c r="G740" s="209"/>
      <c r="H740" s="209"/>
      <c r="I740" s="209"/>
      <c r="J740" s="209"/>
      <c r="K740" s="209"/>
      <c r="L740" s="209"/>
      <c r="M740" s="209"/>
      <c r="N740" s="209"/>
      <c r="O740" s="209"/>
      <c r="P740" s="209"/>
    </row>
    <row r="741" spans="1:16" ht="11.25" customHeight="1" x14ac:dyDescent="0.2">
      <c r="A741" s="255"/>
      <c r="B741" s="259"/>
      <c r="C741" s="260"/>
      <c r="D741" s="73"/>
      <c r="E741" s="209"/>
      <c r="F741" s="209"/>
      <c r="G741" s="209"/>
      <c r="H741" s="209"/>
      <c r="I741" s="209"/>
      <c r="J741" s="209"/>
      <c r="K741" s="209"/>
      <c r="L741" s="209"/>
      <c r="M741" s="209"/>
      <c r="N741" s="209"/>
      <c r="O741" s="209"/>
      <c r="P741" s="209"/>
    </row>
    <row r="742" spans="1:16" ht="11.25" customHeight="1" x14ac:dyDescent="0.2">
      <c r="A742" s="255"/>
      <c r="B742" s="259"/>
      <c r="C742" s="260"/>
      <c r="D742" s="73"/>
      <c r="E742" s="209"/>
      <c r="F742" s="209"/>
      <c r="G742" s="209"/>
      <c r="H742" s="209"/>
      <c r="I742" s="209"/>
      <c r="J742" s="209"/>
      <c r="K742" s="209"/>
      <c r="L742" s="209"/>
      <c r="M742" s="209"/>
      <c r="N742" s="209"/>
      <c r="O742" s="209"/>
      <c r="P742" s="209"/>
    </row>
    <row r="743" spans="1:16" ht="11.25" customHeight="1" x14ac:dyDescent="0.2">
      <c r="A743" s="255"/>
      <c r="B743" s="259"/>
      <c r="C743" s="260"/>
      <c r="D743" s="73"/>
      <c r="E743" s="209"/>
      <c r="F743" s="209"/>
      <c r="G743" s="209"/>
      <c r="H743" s="209"/>
      <c r="I743" s="209"/>
      <c r="J743" s="209"/>
      <c r="K743" s="209"/>
      <c r="L743" s="209"/>
      <c r="M743" s="209"/>
      <c r="N743" s="209"/>
      <c r="O743" s="209"/>
      <c r="P743" s="209"/>
    </row>
    <row r="744" spans="1:16" ht="11.25" customHeight="1" x14ac:dyDescent="0.2">
      <c r="A744" s="255"/>
      <c r="B744" s="259"/>
      <c r="C744" s="260"/>
      <c r="D744" s="73"/>
      <c r="E744" s="209"/>
      <c r="F744" s="209"/>
      <c r="G744" s="209"/>
      <c r="H744" s="209"/>
      <c r="I744" s="209"/>
      <c r="J744" s="209"/>
      <c r="K744" s="209"/>
      <c r="L744" s="209"/>
      <c r="M744" s="209"/>
      <c r="N744" s="209"/>
      <c r="O744" s="209"/>
      <c r="P744" s="209"/>
    </row>
    <row r="745" spans="1:16" ht="11.25" customHeight="1" x14ac:dyDescent="0.2">
      <c r="A745" s="255"/>
      <c r="B745" s="259"/>
      <c r="C745" s="260"/>
      <c r="D745" s="73"/>
      <c r="E745" s="209"/>
      <c r="F745" s="209"/>
      <c r="G745" s="209"/>
      <c r="H745" s="209"/>
      <c r="I745" s="209"/>
      <c r="J745" s="209"/>
      <c r="K745" s="209"/>
      <c r="L745" s="209"/>
      <c r="M745" s="209"/>
      <c r="N745" s="209"/>
      <c r="O745" s="209"/>
      <c r="P745" s="209"/>
    </row>
    <row r="746" spans="1:16" ht="11.25" customHeight="1" x14ac:dyDescent="0.2">
      <c r="A746" s="255"/>
      <c r="B746" s="259"/>
      <c r="C746" s="260"/>
      <c r="D746" s="73"/>
      <c r="E746" s="209"/>
      <c r="F746" s="209"/>
      <c r="G746" s="209"/>
      <c r="H746" s="209"/>
      <c r="I746" s="209"/>
      <c r="J746" s="209"/>
      <c r="K746" s="209"/>
      <c r="L746" s="209"/>
      <c r="M746" s="209"/>
      <c r="N746" s="209"/>
      <c r="O746" s="209"/>
      <c r="P746" s="209"/>
    </row>
    <row r="747" spans="1:16" ht="11.25" customHeight="1" x14ac:dyDescent="0.2">
      <c r="A747" s="255"/>
      <c r="B747" s="259"/>
      <c r="C747" s="260"/>
      <c r="D747" s="73"/>
      <c r="E747" s="209"/>
      <c r="F747" s="209"/>
      <c r="G747" s="209"/>
      <c r="H747" s="209"/>
      <c r="I747" s="209"/>
      <c r="J747" s="209"/>
      <c r="K747" s="209"/>
      <c r="L747" s="209"/>
      <c r="M747" s="209"/>
      <c r="N747" s="209"/>
      <c r="O747" s="209"/>
      <c r="P747" s="209"/>
    </row>
    <row r="748" spans="1:16" ht="11.25" customHeight="1" x14ac:dyDescent="0.2">
      <c r="A748" s="255"/>
      <c r="B748" s="259"/>
      <c r="C748" s="260"/>
      <c r="D748" s="73"/>
      <c r="E748" s="209"/>
      <c r="F748" s="209"/>
      <c r="G748" s="209"/>
      <c r="H748" s="209"/>
      <c r="I748" s="209"/>
      <c r="J748" s="209"/>
      <c r="K748" s="209"/>
      <c r="L748" s="209"/>
      <c r="M748" s="209"/>
      <c r="N748" s="209"/>
      <c r="O748" s="209"/>
      <c r="P748" s="209"/>
    </row>
    <row r="749" spans="1:16" ht="11.25" customHeight="1" x14ac:dyDescent="0.2">
      <c r="A749" s="255"/>
      <c r="B749" s="259"/>
      <c r="C749" s="260"/>
      <c r="D749" s="73"/>
      <c r="E749" s="209"/>
      <c r="F749" s="209"/>
      <c r="G749" s="209"/>
      <c r="H749" s="209"/>
      <c r="I749" s="209"/>
      <c r="J749" s="209"/>
      <c r="K749" s="209"/>
      <c r="L749" s="209"/>
      <c r="M749" s="209"/>
      <c r="N749" s="209"/>
      <c r="O749" s="209"/>
      <c r="P749" s="209"/>
    </row>
    <row r="750" spans="1:16" ht="11.25" customHeight="1" x14ac:dyDescent="0.2">
      <c r="A750" s="255"/>
      <c r="B750" s="259"/>
      <c r="C750" s="260"/>
      <c r="D750" s="73"/>
      <c r="E750" s="209"/>
      <c r="F750" s="209"/>
      <c r="G750" s="209"/>
      <c r="H750" s="209"/>
      <c r="I750" s="209"/>
      <c r="J750" s="209"/>
      <c r="K750" s="209"/>
      <c r="L750" s="209"/>
      <c r="M750" s="209"/>
      <c r="N750" s="209"/>
      <c r="O750" s="209"/>
      <c r="P750" s="209"/>
    </row>
    <row r="751" spans="1:16" ht="11.25" customHeight="1" x14ac:dyDescent="0.2">
      <c r="A751" s="255"/>
      <c r="B751" s="259"/>
      <c r="C751" s="260"/>
      <c r="D751" s="73"/>
      <c r="E751" s="209"/>
      <c r="F751" s="209"/>
      <c r="G751" s="209"/>
      <c r="H751" s="209"/>
      <c r="I751" s="209"/>
      <c r="J751" s="209"/>
      <c r="K751" s="209"/>
      <c r="L751" s="209"/>
      <c r="M751" s="209"/>
      <c r="N751" s="209"/>
      <c r="O751" s="209"/>
      <c r="P751" s="209"/>
    </row>
    <row r="752" spans="1:16" ht="11.25" customHeight="1" x14ac:dyDescent="0.2">
      <c r="A752" s="255"/>
      <c r="B752" s="259"/>
      <c r="C752" s="260"/>
      <c r="D752" s="73"/>
      <c r="E752" s="209"/>
      <c r="F752" s="209"/>
      <c r="G752" s="209"/>
      <c r="H752" s="209"/>
      <c r="I752" s="209"/>
      <c r="J752" s="209"/>
      <c r="K752" s="209"/>
      <c r="L752" s="209"/>
      <c r="M752" s="209"/>
      <c r="N752" s="209"/>
      <c r="O752" s="209"/>
      <c r="P752" s="209"/>
    </row>
    <row r="753" spans="1:16" ht="11.25" customHeight="1" x14ac:dyDescent="0.2">
      <c r="A753" s="255"/>
      <c r="B753" s="259"/>
      <c r="C753" s="260"/>
      <c r="D753" s="73"/>
      <c r="E753" s="209"/>
      <c r="F753" s="209"/>
      <c r="G753" s="209"/>
      <c r="H753" s="209"/>
      <c r="I753" s="209"/>
      <c r="J753" s="209"/>
      <c r="K753" s="209"/>
      <c r="L753" s="209"/>
      <c r="M753" s="209"/>
      <c r="N753" s="209"/>
      <c r="O753" s="209"/>
      <c r="P753" s="209"/>
    </row>
    <row r="754" spans="1:16" ht="11.25" customHeight="1" x14ac:dyDescent="0.2">
      <c r="A754" s="255"/>
      <c r="B754" s="259"/>
      <c r="C754" s="260"/>
      <c r="D754" s="73"/>
      <c r="E754" s="209"/>
      <c r="F754" s="209"/>
      <c r="G754" s="209"/>
      <c r="H754" s="209"/>
      <c r="I754" s="209"/>
      <c r="J754" s="209"/>
      <c r="K754" s="209"/>
      <c r="L754" s="209"/>
      <c r="M754" s="209"/>
      <c r="N754" s="209"/>
      <c r="O754" s="209"/>
      <c r="P754" s="209"/>
    </row>
    <row r="755" spans="1:16" ht="11.25" customHeight="1" x14ac:dyDescent="0.2">
      <c r="A755" s="255"/>
      <c r="B755" s="259"/>
      <c r="C755" s="260"/>
      <c r="D755" s="73"/>
      <c r="E755" s="209"/>
      <c r="F755" s="209"/>
      <c r="G755" s="209"/>
      <c r="H755" s="209"/>
      <c r="I755" s="209"/>
      <c r="J755" s="209"/>
      <c r="K755" s="209"/>
      <c r="L755" s="209"/>
      <c r="M755" s="209"/>
      <c r="N755" s="209"/>
      <c r="O755" s="209"/>
      <c r="P755" s="209"/>
    </row>
    <row r="756" spans="1:16" ht="11.25" customHeight="1" x14ac:dyDescent="0.2">
      <c r="A756" s="255"/>
      <c r="B756" s="259"/>
      <c r="C756" s="260"/>
      <c r="D756" s="73"/>
      <c r="E756" s="209"/>
      <c r="F756" s="209"/>
      <c r="G756" s="209"/>
      <c r="H756" s="209"/>
      <c r="I756" s="209"/>
      <c r="J756" s="209"/>
      <c r="K756" s="209"/>
      <c r="L756" s="209"/>
      <c r="M756" s="209"/>
      <c r="N756" s="209"/>
      <c r="O756" s="209"/>
      <c r="P756" s="209"/>
    </row>
    <row r="757" spans="1:16" ht="11.25" customHeight="1" x14ac:dyDescent="0.2">
      <c r="A757" s="255"/>
      <c r="B757" s="259"/>
      <c r="C757" s="260"/>
      <c r="D757" s="73"/>
      <c r="E757" s="209"/>
      <c r="F757" s="209"/>
      <c r="G757" s="209"/>
      <c r="H757" s="209"/>
      <c r="I757" s="209"/>
      <c r="J757" s="209"/>
      <c r="K757" s="209"/>
      <c r="L757" s="209"/>
      <c r="M757" s="209"/>
      <c r="N757" s="209"/>
      <c r="O757" s="209"/>
      <c r="P757" s="209"/>
    </row>
    <row r="758" spans="1:16" ht="11.25" customHeight="1" x14ac:dyDescent="0.2">
      <c r="A758" s="255"/>
      <c r="B758" s="259"/>
      <c r="C758" s="260"/>
      <c r="D758" s="73"/>
      <c r="E758" s="209"/>
      <c r="F758" s="209"/>
      <c r="G758" s="209"/>
      <c r="H758" s="209"/>
      <c r="I758" s="209"/>
      <c r="J758" s="209"/>
      <c r="K758" s="209"/>
      <c r="L758" s="209"/>
      <c r="M758" s="209"/>
      <c r="N758" s="209"/>
      <c r="O758" s="209"/>
      <c r="P758" s="209"/>
    </row>
    <row r="759" spans="1:16" ht="11.25" customHeight="1" x14ac:dyDescent="0.2">
      <c r="A759" s="255"/>
      <c r="B759" s="259"/>
      <c r="C759" s="260"/>
      <c r="D759" s="73"/>
      <c r="E759" s="209"/>
      <c r="F759" s="209"/>
      <c r="G759" s="209"/>
      <c r="H759" s="209"/>
      <c r="I759" s="209"/>
      <c r="J759" s="209"/>
      <c r="K759" s="209"/>
      <c r="L759" s="209"/>
      <c r="M759" s="209"/>
      <c r="N759" s="209"/>
      <c r="O759" s="209"/>
      <c r="P759" s="209"/>
    </row>
    <row r="760" spans="1:16" ht="11.25" customHeight="1" x14ac:dyDescent="0.2">
      <c r="A760" s="255"/>
      <c r="B760" s="259"/>
      <c r="C760" s="260"/>
      <c r="D760" s="73"/>
      <c r="E760" s="209"/>
      <c r="F760" s="209"/>
      <c r="G760" s="209"/>
      <c r="H760" s="209"/>
      <c r="I760" s="209"/>
      <c r="J760" s="209"/>
      <c r="K760" s="209"/>
      <c r="L760" s="209"/>
      <c r="M760" s="209"/>
      <c r="N760" s="209"/>
      <c r="O760" s="209"/>
      <c r="P760" s="209"/>
    </row>
    <row r="761" spans="1:16" ht="11.25" customHeight="1" x14ac:dyDescent="0.2">
      <c r="A761" s="255"/>
      <c r="B761" s="259"/>
      <c r="C761" s="260"/>
      <c r="D761" s="73"/>
      <c r="E761" s="209"/>
      <c r="F761" s="209"/>
      <c r="G761" s="209"/>
      <c r="H761" s="209"/>
      <c r="I761" s="209"/>
      <c r="J761" s="209"/>
      <c r="K761" s="209"/>
      <c r="L761" s="209"/>
      <c r="M761" s="209"/>
      <c r="N761" s="209"/>
      <c r="O761" s="209"/>
      <c r="P761" s="209"/>
    </row>
    <row r="762" spans="1:16" ht="11.25" customHeight="1" x14ac:dyDescent="0.2">
      <c r="A762" s="255"/>
      <c r="B762" s="259"/>
      <c r="C762" s="260"/>
      <c r="D762" s="73"/>
      <c r="E762" s="209"/>
      <c r="F762" s="209"/>
      <c r="G762" s="209"/>
      <c r="H762" s="209"/>
      <c r="I762" s="209"/>
      <c r="J762" s="209"/>
      <c r="K762" s="209"/>
      <c r="L762" s="209"/>
      <c r="M762" s="209"/>
      <c r="N762" s="209"/>
      <c r="O762" s="209"/>
      <c r="P762" s="209"/>
    </row>
    <row r="763" spans="1:16" ht="11.25" customHeight="1" x14ac:dyDescent="0.2">
      <c r="A763" s="255"/>
      <c r="B763" s="259"/>
      <c r="C763" s="260"/>
      <c r="D763" s="73"/>
      <c r="E763" s="209"/>
      <c r="F763" s="209"/>
      <c r="G763" s="209"/>
      <c r="H763" s="209"/>
      <c r="I763" s="209"/>
      <c r="J763" s="209"/>
      <c r="K763" s="209"/>
      <c r="L763" s="209"/>
      <c r="M763" s="209"/>
      <c r="N763" s="209"/>
      <c r="O763" s="209"/>
      <c r="P763" s="209"/>
    </row>
    <row r="764" spans="1:16" ht="11.25" customHeight="1" x14ac:dyDescent="0.2">
      <c r="A764" s="255"/>
      <c r="B764" s="259"/>
      <c r="C764" s="260"/>
      <c r="D764" s="73"/>
      <c r="E764" s="209"/>
      <c r="F764" s="209"/>
      <c r="G764" s="209"/>
      <c r="H764" s="209"/>
      <c r="I764" s="209"/>
      <c r="J764" s="209"/>
      <c r="K764" s="209"/>
      <c r="L764" s="209"/>
      <c r="M764" s="209"/>
      <c r="N764" s="209"/>
      <c r="O764" s="209"/>
      <c r="P764" s="209"/>
    </row>
    <row r="765" spans="1:16" ht="11.25" customHeight="1" x14ac:dyDescent="0.2">
      <c r="A765" s="255"/>
      <c r="B765" s="259"/>
      <c r="C765" s="260"/>
      <c r="D765" s="73"/>
      <c r="E765" s="209"/>
      <c r="F765" s="209"/>
      <c r="G765" s="209"/>
      <c r="H765" s="209"/>
      <c r="I765" s="209"/>
      <c r="J765" s="209"/>
      <c r="K765" s="209"/>
      <c r="L765" s="209"/>
      <c r="M765" s="209"/>
      <c r="N765" s="209"/>
      <c r="O765" s="209"/>
      <c r="P765" s="209"/>
    </row>
    <row r="766" spans="1:16" ht="11.25" customHeight="1" x14ac:dyDescent="0.2">
      <c r="A766" s="255"/>
      <c r="B766" s="259"/>
      <c r="C766" s="260"/>
      <c r="D766" s="73"/>
      <c r="E766" s="209"/>
      <c r="F766" s="209"/>
      <c r="G766" s="209"/>
      <c r="H766" s="209"/>
      <c r="I766" s="209"/>
      <c r="J766" s="209"/>
      <c r="K766" s="209"/>
      <c r="L766" s="209"/>
      <c r="M766" s="209"/>
      <c r="N766" s="209"/>
      <c r="O766" s="209"/>
      <c r="P766" s="209"/>
    </row>
    <row r="767" spans="1:16" ht="11.25" customHeight="1" x14ac:dyDescent="0.2">
      <c r="A767" s="255"/>
      <c r="B767" s="259"/>
      <c r="C767" s="260"/>
      <c r="D767" s="73"/>
      <c r="E767" s="209"/>
      <c r="F767" s="209"/>
      <c r="G767" s="209"/>
      <c r="H767" s="209"/>
      <c r="I767" s="209"/>
      <c r="J767" s="209"/>
      <c r="K767" s="209"/>
      <c r="L767" s="209"/>
      <c r="M767" s="209"/>
      <c r="N767" s="209"/>
      <c r="O767" s="209"/>
      <c r="P767" s="209"/>
    </row>
    <row r="768" spans="1:16" ht="11.25" customHeight="1" x14ac:dyDescent="0.2">
      <c r="A768" s="255"/>
      <c r="B768" s="259"/>
      <c r="C768" s="260"/>
      <c r="D768" s="73"/>
      <c r="E768" s="209"/>
      <c r="F768" s="209"/>
      <c r="G768" s="209"/>
      <c r="H768" s="209"/>
      <c r="I768" s="209"/>
      <c r="J768" s="209"/>
      <c r="K768" s="209"/>
      <c r="L768" s="209"/>
      <c r="M768" s="209"/>
      <c r="N768" s="209"/>
      <c r="O768" s="209"/>
      <c r="P768" s="209"/>
    </row>
    <row r="769" spans="1:16" ht="11.25" customHeight="1" x14ac:dyDescent="0.2">
      <c r="A769" s="255"/>
      <c r="B769" s="259"/>
      <c r="C769" s="260"/>
      <c r="D769" s="73"/>
      <c r="E769" s="209"/>
      <c r="F769" s="209"/>
      <c r="G769" s="209"/>
      <c r="H769" s="209"/>
      <c r="I769" s="209"/>
      <c r="J769" s="209"/>
      <c r="K769" s="209"/>
      <c r="L769" s="209"/>
      <c r="M769" s="209"/>
      <c r="N769" s="209"/>
      <c r="O769" s="209"/>
      <c r="P769" s="209"/>
    </row>
    <row r="770" spans="1:16" ht="11.25" customHeight="1" x14ac:dyDescent="0.2">
      <c r="A770" s="255"/>
      <c r="B770" s="259"/>
      <c r="C770" s="260"/>
      <c r="D770" s="73"/>
      <c r="E770" s="209"/>
      <c r="F770" s="209"/>
      <c r="G770" s="209"/>
      <c r="H770" s="209"/>
      <c r="I770" s="209"/>
      <c r="J770" s="209"/>
      <c r="K770" s="209"/>
      <c r="L770" s="209"/>
      <c r="M770" s="209"/>
      <c r="N770" s="209"/>
      <c r="O770" s="209"/>
      <c r="P770" s="209"/>
    </row>
    <row r="771" spans="1:16" ht="11.25" customHeight="1" x14ac:dyDescent="0.2">
      <c r="A771" s="255"/>
      <c r="B771" s="259"/>
      <c r="C771" s="260"/>
      <c r="D771" s="73"/>
      <c r="E771" s="209"/>
      <c r="F771" s="209"/>
      <c r="G771" s="209"/>
      <c r="H771" s="209"/>
      <c r="I771" s="209"/>
      <c r="J771" s="209"/>
      <c r="K771" s="209"/>
      <c r="L771" s="209"/>
      <c r="M771" s="209"/>
      <c r="N771" s="209"/>
      <c r="O771" s="209"/>
      <c r="P771" s="209"/>
    </row>
    <row r="772" spans="1:16" ht="11.25" customHeight="1" x14ac:dyDescent="0.2">
      <c r="A772" s="255"/>
      <c r="B772" s="259"/>
      <c r="C772" s="260"/>
      <c r="D772" s="73"/>
      <c r="E772" s="209"/>
      <c r="F772" s="209"/>
      <c r="G772" s="209"/>
      <c r="H772" s="209"/>
      <c r="I772" s="209"/>
      <c r="J772" s="209"/>
      <c r="K772" s="209"/>
      <c r="L772" s="209"/>
      <c r="M772" s="209"/>
      <c r="N772" s="209"/>
      <c r="O772" s="209"/>
      <c r="P772" s="209"/>
    </row>
    <row r="773" spans="1:16" ht="11.25" customHeight="1" x14ac:dyDescent="0.2">
      <c r="A773" s="255"/>
      <c r="B773" s="259"/>
      <c r="C773" s="260"/>
      <c r="D773" s="73"/>
      <c r="E773" s="209"/>
      <c r="F773" s="209"/>
      <c r="G773" s="209"/>
      <c r="H773" s="209"/>
      <c r="I773" s="209"/>
      <c r="J773" s="209"/>
      <c r="K773" s="209"/>
      <c r="L773" s="209"/>
      <c r="M773" s="209"/>
      <c r="N773" s="209"/>
      <c r="O773" s="209"/>
      <c r="P773" s="209"/>
    </row>
    <row r="774" spans="1:16" ht="11.25" customHeight="1" x14ac:dyDescent="0.2">
      <c r="A774" s="255"/>
      <c r="B774" s="259"/>
      <c r="C774" s="260"/>
      <c r="D774" s="73"/>
      <c r="E774" s="209"/>
      <c r="F774" s="209"/>
      <c r="G774" s="209"/>
      <c r="H774" s="209"/>
      <c r="I774" s="209"/>
      <c r="J774" s="209"/>
      <c r="K774" s="209"/>
      <c r="L774" s="209"/>
      <c r="M774" s="209"/>
      <c r="N774" s="209"/>
      <c r="O774" s="209"/>
      <c r="P774" s="209"/>
    </row>
    <row r="775" spans="1:16" ht="11.25" customHeight="1" x14ac:dyDescent="0.2">
      <c r="A775" s="255"/>
      <c r="B775" s="259"/>
      <c r="C775" s="260"/>
      <c r="D775" s="73"/>
      <c r="E775" s="209"/>
      <c r="F775" s="209"/>
      <c r="G775" s="209"/>
      <c r="H775" s="209"/>
      <c r="I775" s="209"/>
      <c r="J775" s="209"/>
      <c r="K775" s="209"/>
      <c r="L775" s="209"/>
      <c r="M775" s="209"/>
      <c r="N775" s="209"/>
      <c r="O775" s="209"/>
      <c r="P775" s="209"/>
    </row>
    <row r="776" spans="1:16" ht="11.25" customHeight="1" x14ac:dyDescent="0.2">
      <c r="A776" s="255"/>
      <c r="B776" s="259"/>
      <c r="C776" s="260"/>
      <c r="D776" s="73"/>
      <c r="E776" s="209"/>
      <c r="F776" s="209"/>
      <c r="G776" s="209"/>
      <c r="H776" s="209"/>
      <c r="I776" s="209"/>
      <c r="J776" s="209"/>
      <c r="K776" s="209"/>
      <c r="L776" s="209"/>
      <c r="M776" s="209"/>
      <c r="N776" s="209"/>
      <c r="O776" s="209"/>
      <c r="P776" s="209"/>
    </row>
    <row r="777" spans="1:16" ht="11.25" customHeight="1" x14ac:dyDescent="0.2">
      <c r="A777" s="255"/>
      <c r="B777" s="259"/>
      <c r="C777" s="260"/>
      <c r="D777" s="73"/>
      <c r="E777" s="209"/>
      <c r="F777" s="209"/>
      <c r="G777" s="209"/>
      <c r="H777" s="209"/>
      <c r="I777" s="209"/>
      <c r="J777" s="209"/>
      <c r="K777" s="209"/>
      <c r="L777" s="209"/>
      <c r="M777" s="209"/>
      <c r="N777" s="209"/>
      <c r="O777" s="209"/>
      <c r="P777" s="209"/>
    </row>
    <row r="778" spans="1:16" ht="11.25" customHeight="1" x14ac:dyDescent="0.2">
      <c r="A778" s="255"/>
      <c r="B778" s="259"/>
      <c r="C778" s="260"/>
      <c r="D778" s="73"/>
      <c r="E778" s="209"/>
      <c r="F778" s="209"/>
      <c r="G778" s="209"/>
      <c r="H778" s="209"/>
      <c r="I778" s="209"/>
      <c r="J778" s="209"/>
      <c r="K778" s="209"/>
      <c r="L778" s="209"/>
      <c r="M778" s="209"/>
      <c r="N778" s="209"/>
      <c r="O778" s="209"/>
      <c r="P778" s="209"/>
    </row>
    <row r="779" spans="1:16" ht="11.25" customHeight="1" x14ac:dyDescent="0.2">
      <c r="A779" s="255"/>
      <c r="B779" s="259"/>
      <c r="C779" s="260"/>
      <c r="D779" s="73"/>
      <c r="E779" s="209"/>
      <c r="F779" s="209"/>
      <c r="G779" s="209"/>
      <c r="H779" s="209"/>
      <c r="I779" s="209"/>
      <c r="J779" s="209"/>
      <c r="K779" s="209"/>
      <c r="L779" s="209"/>
      <c r="M779" s="209"/>
      <c r="N779" s="209"/>
      <c r="O779" s="209"/>
      <c r="P779" s="209"/>
    </row>
    <row r="780" spans="1:16" ht="11.25" customHeight="1" x14ac:dyDescent="0.2">
      <c r="A780" s="255"/>
      <c r="B780" s="259"/>
      <c r="C780" s="260"/>
      <c r="D780" s="73"/>
      <c r="E780" s="209"/>
      <c r="F780" s="209"/>
      <c r="G780" s="209"/>
      <c r="H780" s="209"/>
      <c r="I780" s="209"/>
      <c r="J780" s="209"/>
      <c r="K780" s="209"/>
      <c r="L780" s="209"/>
      <c r="M780" s="209"/>
      <c r="N780" s="209"/>
      <c r="O780" s="209"/>
      <c r="P780" s="209"/>
    </row>
    <row r="781" spans="1:16" ht="11.25" customHeight="1" x14ac:dyDescent="0.2">
      <c r="A781" s="255"/>
      <c r="B781" s="259"/>
      <c r="C781" s="260"/>
      <c r="D781" s="73"/>
      <c r="E781" s="209"/>
      <c r="F781" s="209"/>
      <c r="G781" s="209"/>
      <c r="H781" s="209"/>
      <c r="I781" s="209"/>
      <c r="J781" s="209"/>
      <c r="K781" s="209"/>
      <c r="L781" s="209"/>
      <c r="M781" s="209"/>
      <c r="N781" s="209"/>
      <c r="O781" s="209"/>
      <c r="P781" s="209"/>
    </row>
    <row r="782" spans="1:16" ht="11.25" customHeight="1" x14ac:dyDescent="0.2">
      <c r="A782" s="255"/>
      <c r="B782" s="259"/>
      <c r="C782" s="260"/>
      <c r="D782" s="73"/>
      <c r="E782" s="209"/>
      <c r="F782" s="209"/>
      <c r="G782" s="209"/>
      <c r="H782" s="209"/>
      <c r="I782" s="209"/>
      <c r="J782" s="209"/>
      <c r="K782" s="209"/>
      <c r="L782" s="209"/>
      <c r="M782" s="209"/>
      <c r="N782" s="209"/>
      <c r="O782" s="209"/>
      <c r="P782" s="209"/>
    </row>
    <row r="783" spans="1:16" ht="11.25" customHeight="1" x14ac:dyDescent="0.2">
      <c r="A783" s="255"/>
      <c r="B783" s="259"/>
      <c r="C783" s="260"/>
      <c r="D783" s="73"/>
      <c r="E783" s="209"/>
      <c r="F783" s="209"/>
      <c r="G783" s="209"/>
      <c r="H783" s="209"/>
      <c r="I783" s="209"/>
      <c r="J783" s="209"/>
      <c r="K783" s="209"/>
      <c r="L783" s="209"/>
      <c r="M783" s="209"/>
      <c r="N783" s="209"/>
      <c r="O783" s="209"/>
      <c r="P783" s="209"/>
    </row>
    <row r="784" spans="1:16" ht="11.25" customHeight="1" x14ac:dyDescent="0.2">
      <c r="A784" s="255"/>
      <c r="B784" s="259"/>
      <c r="C784" s="260"/>
      <c r="D784" s="73"/>
      <c r="E784" s="209"/>
      <c r="F784" s="209"/>
      <c r="G784" s="209"/>
      <c r="H784" s="209"/>
      <c r="I784" s="209"/>
      <c r="J784" s="209"/>
      <c r="K784" s="209"/>
      <c r="L784" s="209"/>
      <c r="M784" s="209"/>
      <c r="N784" s="209"/>
      <c r="O784" s="209"/>
      <c r="P784" s="209"/>
    </row>
    <row r="785" spans="1:16" ht="11.25" customHeight="1" x14ac:dyDescent="0.2">
      <c r="A785" s="255"/>
      <c r="B785" s="259"/>
      <c r="C785" s="260"/>
      <c r="D785" s="73"/>
      <c r="E785" s="209"/>
      <c r="F785" s="209"/>
      <c r="G785" s="209"/>
      <c r="H785" s="209"/>
      <c r="I785" s="209"/>
      <c r="J785" s="209"/>
      <c r="K785" s="209"/>
      <c r="L785" s="209"/>
      <c r="M785" s="209"/>
      <c r="N785" s="209"/>
      <c r="O785" s="209"/>
      <c r="P785" s="209"/>
    </row>
    <row r="786" spans="1:16" ht="11.25" customHeight="1" x14ac:dyDescent="0.2">
      <c r="A786" s="255"/>
      <c r="B786" s="259"/>
      <c r="C786" s="260"/>
      <c r="D786" s="73"/>
      <c r="E786" s="209"/>
      <c r="F786" s="209"/>
      <c r="G786" s="209"/>
      <c r="H786" s="209"/>
      <c r="I786" s="209"/>
      <c r="J786" s="209"/>
      <c r="K786" s="209"/>
      <c r="L786" s="209"/>
      <c r="M786" s="209"/>
      <c r="N786" s="209"/>
      <c r="O786" s="209"/>
      <c r="P786" s="209"/>
    </row>
    <row r="787" spans="1:16" ht="11.25" customHeight="1" x14ac:dyDescent="0.2">
      <c r="A787" s="255"/>
      <c r="B787" s="259"/>
      <c r="C787" s="260"/>
      <c r="D787" s="73"/>
      <c r="E787" s="209"/>
      <c r="F787" s="209"/>
      <c r="G787" s="209"/>
      <c r="H787" s="209"/>
      <c r="I787" s="209"/>
      <c r="J787" s="209"/>
      <c r="K787" s="209"/>
      <c r="L787" s="209"/>
      <c r="M787" s="209"/>
      <c r="N787" s="209"/>
      <c r="O787" s="209"/>
      <c r="P787" s="209"/>
    </row>
    <row r="788" spans="1:16" ht="11.25" customHeight="1" x14ac:dyDescent="0.2">
      <c r="A788" s="255"/>
      <c r="B788" s="259"/>
      <c r="C788" s="260"/>
      <c r="D788" s="73"/>
      <c r="E788" s="209"/>
      <c r="F788" s="209"/>
      <c r="G788" s="209"/>
      <c r="H788" s="209"/>
      <c r="I788" s="209"/>
      <c r="J788" s="209"/>
      <c r="K788" s="209"/>
      <c r="L788" s="209"/>
      <c r="M788" s="209"/>
      <c r="N788" s="209"/>
      <c r="O788" s="209"/>
      <c r="P788" s="209"/>
    </row>
    <row r="789" spans="1:16" ht="11.25" customHeight="1" x14ac:dyDescent="0.2">
      <c r="A789" s="255"/>
      <c r="B789" s="259"/>
      <c r="C789" s="260"/>
      <c r="D789" s="73"/>
      <c r="E789" s="209"/>
      <c r="F789" s="209"/>
      <c r="G789" s="209"/>
      <c r="H789" s="209"/>
      <c r="I789" s="209"/>
      <c r="J789" s="209"/>
      <c r="K789" s="209"/>
      <c r="L789" s="209"/>
      <c r="M789" s="209"/>
      <c r="N789" s="209"/>
      <c r="O789" s="209"/>
      <c r="P789" s="209"/>
    </row>
    <row r="790" spans="1:16" ht="11.25" customHeight="1" x14ac:dyDescent="0.2">
      <c r="A790" s="255"/>
      <c r="B790" s="259"/>
      <c r="C790" s="260"/>
      <c r="D790" s="73"/>
      <c r="E790" s="209"/>
      <c r="F790" s="209"/>
      <c r="G790" s="209"/>
      <c r="H790" s="209"/>
      <c r="I790" s="209"/>
      <c r="J790" s="209"/>
      <c r="K790" s="209"/>
      <c r="L790" s="209"/>
      <c r="M790" s="209"/>
      <c r="N790" s="209"/>
      <c r="O790" s="209"/>
      <c r="P790" s="209"/>
    </row>
    <row r="791" spans="1:16" ht="11.25" customHeight="1" x14ac:dyDescent="0.2">
      <c r="A791" s="255"/>
      <c r="B791" s="259"/>
      <c r="C791" s="260"/>
      <c r="D791" s="73"/>
      <c r="E791" s="209"/>
      <c r="F791" s="209"/>
      <c r="G791" s="209"/>
      <c r="H791" s="209"/>
      <c r="I791" s="209"/>
      <c r="J791" s="209"/>
      <c r="K791" s="209"/>
      <c r="L791" s="209"/>
      <c r="M791" s="209"/>
      <c r="N791" s="209"/>
      <c r="O791" s="209"/>
      <c r="P791" s="209"/>
    </row>
    <row r="792" spans="1:16" ht="11.25" customHeight="1" x14ac:dyDescent="0.2">
      <c r="A792" s="255"/>
      <c r="B792" s="259"/>
      <c r="C792" s="260"/>
      <c r="D792" s="73"/>
      <c r="E792" s="209"/>
      <c r="F792" s="209"/>
      <c r="G792" s="209"/>
      <c r="H792" s="209"/>
      <c r="I792" s="209"/>
      <c r="J792" s="209"/>
      <c r="K792" s="209"/>
      <c r="L792" s="209"/>
      <c r="M792" s="209"/>
      <c r="N792" s="209"/>
      <c r="O792" s="209"/>
      <c r="P792" s="209"/>
    </row>
    <row r="793" spans="1:16" ht="11.25" customHeight="1" x14ac:dyDescent="0.2">
      <c r="A793" s="255"/>
      <c r="B793" s="259"/>
      <c r="C793" s="260"/>
      <c r="D793" s="73"/>
      <c r="E793" s="209"/>
      <c r="F793" s="209"/>
      <c r="G793" s="209"/>
      <c r="H793" s="209"/>
      <c r="I793" s="209"/>
      <c r="J793" s="209"/>
      <c r="K793" s="209"/>
      <c r="L793" s="209"/>
      <c r="M793" s="209"/>
      <c r="N793" s="209"/>
      <c r="O793" s="209"/>
      <c r="P793" s="209"/>
    </row>
    <row r="794" spans="1:16" ht="11.25" customHeight="1" x14ac:dyDescent="0.2">
      <c r="A794" s="255"/>
      <c r="B794" s="259"/>
      <c r="C794" s="260"/>
      <c r="D794" s="73"/>
      <c r="E794" s="209"/>
      <c r="F794" s="209"/>
      <c r="G794" s="209"/>
      <c r="H794" s="209"/>
      <c r="I794" s="209"/>
      <c r="J794" s="209"/>
      <c r="K794" s="209"/>
      <c r="L794" s="209"/>
      <c r="M794" s="209"/>
      <c r="N794" s="209"/>
      <c r="O794" s="209"/>
      <c r="P794" s="209"/>
    </row>
    <row r="795" spans="1:16" ht="11.25" customHeight="1" x14ac:dyDescent="0.2">
      <c r="A795" s="255"/>
      <c r="B795" s="259"/>
      <c r="C795" s="260"/>
      <c r="D795" s="73"/>
      <c r="E795" s="209"/>
      <c r="F795" s="209"/>
      <c r="G795" s="209"/>
      <c r="H795" s="209"/>
      <c r="I795" s="209"/>
      <c r="J795" s="209"/>
      <c r="K795" s="209"/>
      <c r="L795" s="209"/>
      <c r="M795" s="209"/>
      <c r="N795" s="209"/>
      <c r="O795" s="209"/>
      <c r="P795" s="209"/>
    </row>
    <row r="796" spans="1:16" ht="11.25" customHeight="1" x14ac:dyDescent="0.2">
      <c r="A796" s="255"/>
      <c r="B796" s="259"/>
      <c r="C796" s="260"/>
      <c r="D796" s="73"/>
      <c r="E796" s="209"/>
      <c r="F796" s="209"/>
      <c r="G796" s="209"/>
      <c r="H796" s="209"/>
      <c r="I796" s="209"/>
      <c r="J796" s="209"/>
      <c r="K796" s="209"/>
      <c r="L796" s="209"/>
      <c r="M796" s="209"/>
      <c r="N796" s="209"/>
      <c r="O796" s="209"/>
      <c r="P796" s="209"/>
    </row>
    <row r="797" spans="1:16" ht="11.25" customHeight="1" x14ac:dyDescent="0.2">
      <c r="A797" s="255"/>
      <c r="B797" s="259"/>
      <c r="C797" s="260"/>
      <c r="D797" s="73"/>
      <c r="E797" s="209"/>
      <c r="F797" s="209"/>
      <c r="G797" s="209"/>
      <c r="H797" s="209"/>
      <c r="I797" s="209"/>
      <c r="J797" s="209"/>
      <c r="K797" s="209"/>
      <c r="L797" s="209"/>
      <c r="M797" s="209"/>
      <c r="N797" s="209"/>
      <c r="O797" s="209"/>
      <c r="P797" s="209"/>
    </row>
    <row r="798" spans="1:16" ht="11.25" customHeight="1" x14ac:dyDescent="0.2">
      <c r="A798" s="255"/>
      <c r="B798" s="259"/>
      <c r="C798" s="260"/>
      <c r="D798" s="73"/>
      <c r="E798" s="209"/>
      <c r="F798" s="209"/>
      <c r="G798" s="209"/>
      <c r="H798" s="209"/>
      <c r="I798" s="209"/>
      <c r="J798" s="209"/>
      <c r="K798" s="209"/>
      <c r="L798" s="209"/>
      <c r="M798" s="209"/>
      <c r="N798" s="209"/>
      <c r="O798" s="209"/>
      <c r="P798" s="209"/>
    </row>
    <row r="799" spans="1:16" ht="11.25" customHeight="1" x14ac:dyDescent="0.2">
      <c r="A799" s="255"/>
      <c r="B799" s="259"/>
      <c r="C799" s="260"/>
      <c r="D799" s="73"/>
      <c r="E799" s="209"/>
      <c r="F799" s="209"/>
      <c r="G799" s="209"/>
      <c r="H799" s="209"/>
      <c r="I799" s="209"/>
      <c r="J799" s="209"/>
      <c r="K799" s="209"/>
      <c r="L799" s="209"/>
      <c r="M799" s="209"/>
      <c r="N799" s="209"/>
      <c r="O799" s="209"/>
      <c r="P799" s="209"/>
    </row>
    <row r="800" spans="1:16" ht="11.25" customHeight="1" x14ac:dyDescent="0.2">
      <c r="A800" s="255"/>
      <c r="B800" s="259"/>
      <c r="C800" s="260"/>
      <c r="D800" s="73"/>
      <c r="E800" s="209"/>
      <c r="F800" s="209"/>
      <c r="G800" s="209"/>
      <c r="H800" s="209"/>
      <c r="I800" s="209"/>
      <c r="J800" s="209"/>
      <c r="K800" s="209"/>
      <c r="L800" s="209"/>
      <c r="M800" s="209"/>
      <c r="N800" s="209"/>
      <c r="O800" s="209"/>
      <c r="P800" s="209"/>
    </row>
    <row r="801" spans="1:16" ht="11.25" customHeight="1" x14ac:dyDescent="0.2">
      <c r="A801" s="255"/>
      <c r="B801" s="259"/>
      <c r="C801" s="260"/>
      <c r="D801" s="73"/>
      <c r="E801" s="209"/>
      <c r="F801" s="209"/>
      <c r="G801" s="209"/>
      <c r="H801" s="209"/>
      <c r="I801" s="209"/>
      <c r="J801" s="209"/>
      <c r="K801" s="209"/>
      <c r="L801" s="209"/>
      <c r="M801" s="209"/>
      <c r="N801" s="209"/>
      <c r="O801" s="209"/>
      <c r="P801" s="209"/>
    </row>
    <row r="802" spans="1:16" ht="11.25" customHeight="1" x14ac:dyDescent="0.2">
      <c r="A802" s="255"/>
      <c r="B802" s="259"/>
      <c r="C802" s="260"/>
      <c r="D802" s="73"/>
      <c r="E802" s="209"/>
      <c r="F802" s="209"/>
      <c r="G802" s="209"/>
      <c r="H802" s="209"/>
      <c r="I802" s="209"/>
      <c r="J802" s="209"/>
      <c r="K802" s="209"/>
      <c r="L802" s="209"/>
      <c r="M802" s="209"/>
      <c r="N802" s="209"/>
      <c r="O802" s="209"/>
      <c r="P802" s="209"/>
    </row>
    <row r="803" spans="1:16" ht="11.25" customHeight="1" x14ac:dyDescent="0.2">
      <c r="A803" s="255"/>
      <c r="B803" s="259"/>
      <c r="C803" s="260"/>
      <c r="D803" s="73"/>
      <c r="E803" s="209"/>
      <c r="F803" s="209"/>
      <c r="G803" s="209"/>
      <c r="H803" s="209"/>
      <c r="I803" s="209"/>
      <c r="J803" s="209"/>
      <c r="K803" s="209"/>
      <c r="L803" s="209"/>
      <c r="M803" s="209"/>
      <c r="N803" s="209"/>
      <c r="O803" s="209"/>
      <c r="P803" s="209"/>
    </row>
    <row r="804" spans="1:16" ht="11.25" customHeight="1" x14ac:dyDescent="0.2">
      <c r="A804" s="255"/>
      <c r="B804" s="259"/>
      <c r="C804" s="260"/>
      <c r="D804" s="73"/>
      <c r="E804" s="209"/>
      <c r="F804" s="209"/>
      <c r="G804" s="209"/>
      <c r="H804" s="209"/>
      <c r="I804" s="209"/>
      <c r="J804" s="209"/>
      <c r="K804" s="209"/>
      <c r="L804" s="209"/>
      <c r="M804" s="209"/>
      <c r="N804" s="209"/>
      <c r="O804" s="209"/>
      <c r="P804" s="209"/>
    </row>
    <row r="805" spans="1:16" ht="11.25" customHeight="1" x14ac:dyDescent="0.2">
      <c r="A805" s="255"/>
      <c r="B805" s="259"/>
      <c r="C805" s="260"/>
      <c r="D805" s="73"/>
      <c r="E805" s="209"/>
      <c r="F805" s="209"/>
      <c r="G805" s="209"/>
      <c r="H805" s="209"/>
      <c r="I805" s="209"/>
      <c r="J805" s="209"/>
      <c r="K805" s="209"/>
      <c r="L805" s="209"/>
      <c r="M805" s="209"/>
      <c r="N805" s="209"/>
      <c r="O805" s="209"/>
      <c r="P805" s="209"/>
    </row>
    <row r="806" spans="1:16" ht="11.25" customHeight="1" x14ac:dyDescent="0.2">
      <c r="A806" s="255"/>
      <c r="B806" s="259"/>
      <c r="C806" s="260"/>
      <c r="D806" s="73"/>
      <c r="E806" s="209"/>
      <c r="F806" s="209"/>
      <c r="G806" s="209"/>
      <c r="H806" s="209"/>
      <c r="I806" s="209"/>
      <c r="J806" s="209"/>
      <c r="K806" s="209"/>
      <c r="L806" s="209"/>
      <c r="M806" s="209"/>
      <c r="N806" s="209"/>
      <c r="O806" s="209"/>
      <c r="P806" s="209"/>
    </row>
    <row r="807" spans="1:16" ht="11.25" customHeight="1" x14ac:dyDescent="0.2">
      <c r="A807" s="255"/>
      <c r="B807" s="259"/>
      <c r="C807" s="260"/>
      <c r="D807" s="73"/>
      <c r="E807" s="209"/>
      <c r="F807" s="209"/>
      <c r="G807" s="209"/>
      <c r="H807" s="209"/>
      <c r="I807" s="209"/>
      <c r="J807" s="209"/>
      <c r="K807" s="209"/>
      <c r="L807" s="209"/>
      <c r="M807" s="209"/>
      <c r="N807" s="209"/>
      <c r="O807" s="209"/>
      <c r="P807" s="209"/>
    </row>
    <row r="808" spans="1:16" ht="11.25" customHeight="1" x14ac:dyDescent="0.2">
      <c r="A808" s="255"/>
      <c r="B808" s="259"/>
      <c r="C808" s="260"/>
      <c r="D808" s="73"/>
      <c r="E808" s="209"/>
      <c r="F808" s="209"/>
      <c r="G808" s="209"/>
      <c r="H808" s="209"/>
      <c r="I808" s="209"/>
      <c r="J808" s="209"/>
      <c r="K808" s="209"/>
      <c r="L808" s="209"/>
      <c r="M808" s="209"/>
      <c r="N808" s="209"/>
      <c r="O808" s="209"/>
      <c r="P808" s="209"/>
    </row>
    <row r="809" spans="1:16" ht="11.25" customHeight="1" x14ac:dyDescent="0.2">
      <c r="A809" s="255"/>
      <c r="B809" s="259"/>
      <c r="C809" s="260"/>
      <c r="D809" s="73"/>
      <c r="E809" s="209"/>
      <c r="F809" s="209"/>
      <c r="G809" s="209"/>
      <c r="H809" s="209"/>
      <c r="I809" s="209"/>
      <c r="J809" s="209"/>
      <c r="K809" s="209"/>
      <c r="L809" s="209"/>
      <c r="M809" s="209"/>
      <c r="N809" s="209"/>
      <c r="O809" s="209"/>
      <c r="P809" s="209"/>
    </row>
    <row r="810" spans="1:16" ht="11.25" customHeight="1" x14ac:dyDescent="0.2">
      <c r="A810" s="255"/>
      <c r="B810" s="259"/>
      <c r="C810" s="260"/>
      <c r="D810" s="73"/>
      <c r="E810" s="209"/>
      <c r="F810" s="209"/>
      <c r="G810" s="209"/>
      <c r="H810" s="209"/>
      <c r="I810" s="209"/>
      <c r="J810" s="209"/>
      <c r="K810" s="209"/>
      <c r="L810" s="209"/>
      <c r="M810" s="209"/>
      <c r="N810" s="209"/>
      <c r="O810" s="209"/>
      <c r="P810" s="209"/>
    </row>
    <row r="811" spans="1:16" ht="11.25" customHeight="1" x14ac:dyDescent="0.2">
      <c r="A811" s="255"/>
      <c r="B811" s="259"/>
      <c r="C811" s="260"/>
      <c r="D811" s="73"/>
      <c r="E811" s="209"/>
      <c r="F811" s="209"/>
      <c r="G811" s="209"/>
      <c r="H811" s="209"/>
      <c r="I811" s="209"/>
      <c r="J811" s="209"/>
      <c r="K811" s="209"/>
      <c r="L811" s="209"/>
      <c r="M811" s="209"/>
      <c r="N811" s="209"/>
      <c r="O811" s="209"/>
      <c r="P811" s="209"/>
    </row>
    <row r="812" spans="1:16" ht="11.25" customHeight="1" x14ac:dyDescent="0.2">
      <c r="A812" s="255"/>
      <c r="B812" s="259"/>
      <c r="C812" s="260"/>
      <c r="D812" s="73"/>
      <c r="E812" s="209"/>
      <c r="F812" s="209"/>
      <c r="G812" s="209"/>
      <c r="H812" s="209"/>
      <c r="I812" s="209"/>
      <c r="J812" s="209"/>
      <c r="K812" s="209"/>
      <c r="L812" s="209"/>
      <c r="M812" s="209"/>
      <c r="N812" s="209"/>
      <c r="O812" s="209"/>
      <c r="P812" s="209"/>
    </row>
    <row r="813" spans="1:16" ht="11.25" customHeight="1" x14ac:dyDescent="0.2">
      <c r="A813" s="255"/>
      <c r="B813" s="259"/>
      <c r="C813" s="260"/>
      <c r="D813" s="73"/>
      <c r="E813" s="209"/>
      <c r="F813" s="209"/>
      <c r="G813" s="209"/>
      <c r="H813" s="209"/>
      <c r="I813" s="209"/>
      <c r="J813" s="209"/>
      <c r="K813" s="209"/>
      <c r="L813" s="209"/>
      <c r="M813" s="209"/>
      <c r="N813" s="209"/>
      <c r="O813" s="209"/>
      <c r="P813" s="209"/>
    </row>
    <row r="814" spans="1:16" ht="11.25" customHeight="1" x14ac:dyDescent="0.2">
      <c r="A814" s="255"/>
      <c r="B814" s="259"/>
      <c r="C814" s="260"/>
      <c r="D814" s="73"/>
      <c r="E814" s="209"/>
      <c r="F814" s="209"/>
      <c r="G814" s="209"/>
      <c r="H814" s="209"/>
      <c r="I814" s="209"/>
      <c r="J814" s="209"/>
      <c r="K814" s="209"/>
      <c r="L814" s="209"/>
      <c r="M814" s="209"/>
      <c r="N814" s="209"/>
      <c r="O814" s="209"/>
      <c r="P814" s="209"/>
    </row>
    <row r="815" spans="1:16" ht="11.25" customHeight="1" x14ac:dyDescent="0.2">
      <c r="A815" s="255"/>
      <c r="B815" s="259"/>
      <c r="C815" s="260"/>
      <c r="D815" s="73"/>
      <c r="E815" s="209"/>
      <c r="F815" s="209"/>
      <c r="G815" s="209"/>
      <c r="H815" s="209"/>
      <c r="I815" s="209"/>
      <c r="J815" s="209"/>
      <c r="K815" s="209"/>
      <c r="L815" s="209"/>
      <c r="M815" s="209"/>
      <c r="N815" s="209"/>
      <c r="O815" s="209"/>
      <c r="P815" s="209"/>
    </row>
    <row r="816" spans="1:16" ht="11.25" customHeight="1" x14ac:dyDescent="0.2">
      <c r="A816" s="255"/>
      <c r="B816" s="259"/>
      <c r="C816" s="260"/>
      <c r="D816" s="73"/>
      <c r="E816" s="209"/>
      <c r="F816" s="209"/>
      <c r="G816" s="209"/>
      <c r="H816" s="209"/>
      <c r="I816" s="209"/>
      <c r="J816" s="209"/>
      <c r="K816" s="209"/>
      <c r="L816" s="209"/>
      <c r="M816" s="209"/>
      <c r="N816" s="209"/>
      <c r="O816" s="209"/>
      <c r="P816" s="209"/>
    </row>
    <row r="817" spans="1:16" ht="11.25" customHeight="1" x14ac:dyDescent="0.2">
      <c r="A817" s="255"/>
      <c r="B817" s="259"/>
      <c r="C817" s="260"/>
      <c r="D817" s="73"/>
      <c r="E817" s="209"/>
      <c r="F817" s="209"/>
      <c r="G817" s="209"/>
      <c r="H817" s="209"/>
      <c r="I817" s="209"/>
      <c r="J817" s="209"/>
      <c r="K817" s="209"/>
      <c r="L817" s="209"/>
      <c r="M817" s="209"/>
      <c r="N817" s="209"/>
      <c r="O817" s="209"/>
      <c r="P817" s="209"/>
    </row>
    <row r="818" spans="1:16" ht="11.25" customHeight="1" x14ac:dyDescent="0.2">
      <c r="A818" s="255"/>
      <c r="B818" s="259"/>
      <c r="C818" s="260"/>
      <c r="D818" s="73"/>
      <c r="E818" s="209"/>
      <c r="F818" s="209"/>
      <c r="G818" s="209"/>
      <c r="H818" s="209"/>
      <c r="I818" s="209"/>
      <c r="J818" s="209"/>
      <c r="K818" s="209"/>
      <c r="L818" s="209"/>
      <c r="M818" s="209"/>
      <c r="N818" s="209"/>
      <c r="O818" s="209"/>
      <c r="P818" s="209"/>
    </row>
    <row r="819" spans="1:16" ht="11.25" customHeight="1" x14ac:dyDescent="0.2">
      <c r="A819" s="255"/>
      <c r="B819" s="259"/>
      <c r="C819" s="260"/>
      <c r="D819" s="73"/>
      <c r="E819" s="209"/>
      <c r="F819" s="209"/>
      <c r="G819" s="209"/>
      <c r="H819" s="209"/>
      <c r="I819" s="209"/>
      <c r="J819" s="209"/>
      <c r="K819" s="209"/>
      <c r="L819" s="209"/>
      <c r="M819" s="209"/>
      <c r="N819" s="209"/>
      <c r="O819" s="209"/>
      <c r="P819" s="209"/>
    </row>
    <row r="820" spans="1:16" ht="11.25" customHeight="1" x14ac:dyDescent="0.2">
      <c r="A820" s="255"/>
      <c r="B820" s="259"/>
      <c r="C820" s="260"/>
      <c r="D820" s="73"/>
      <c r="E820" s="209"/>
      <c r="F820" s="209"/>
      <c r="G820" s="209"/>
      <c r="H820" s="209"/>
      <c r="I820" s="209"/>
      <c r="J820" s="209"/>
      <c r="K820" s="209"/>
      <c r="L820" s="209"/>
      <c r="M820" s="209"/>
      <c r="N820" s="209"/>
      <c r="O820" s="209"/>
      <c r="P820" s="209"/>
    </row>
    <row r="821" spans="1:16" ht="11.25" customHeight="1" x14ac:dyDescent="0.2">
      <c r="A821" s="255"/>
      <c r="B821" s="259"/>
      <c r="C821" s="260"/>
      <c r="D821" s="73"/>
      <c r="E821" s="209"/>
      <c r="F821" s="209"/>
      <c r="G821" s="209"/>
      <c r="H821" s="209"/>
      <c r="I821" s="209"/>
      <c r="J821" s="209"/>
      <c r="K821" s="209"/>
      <c r="L821" s="209"/>
      <c r="M821" s="209"/>
      <c r="N821" s="209"/>
      <c r="O821" s="209"/>
      <c r="P821" s="209"/>
    </row>
    <row r="822" spans="1:16" ht="11.25" customHeight="1" x14ac:dyDescent="0.2">
      <c r="A822" s="255"/>
      <c r="B822" s="259"/>
      <c r="C822" s="260"/>
      <c r="D822" s="73"/>
      <c r="E822" s="209"/>
      <c r="F822" s="209"/>
      <c r="G822" s="209"/>
      <c r="H822" s="209"/>
      <c r="I822" s="209"/>
      <c r="J822" s="209"/>
      <c r="K822" s="209"/>
      <c r="L822" s="209"/>
      <c r="M822" s="209"/>
      <c r="N822" s="209"/>
      <c r="O822" s="209"/>
      <c r="P822" s="209"/>
    </row>
    <row r="823" spans="1:16" ht="11.25" customHeight="1" x14ac:dyDescent="0.2">
      <c r="A823" s="255"/>
      <c r="B823" s="259"/>
      <c r="C823" s="260"/>
      <c r="D823" s="73"/>
      <c r="E823" s="209"/>
      <c r="F823" s="209"/>
      <c r="G823" s="209"/>
      <c r="H823" s="209"/>
      <c r="I823" s="209"/>
      <c r="J823" s="209"/>
      <c r="K823" s="209"/>
      <c r="L823" s="209"/>
      <c r="M823" s="209"/>
      <c r="N823" s="209"/>
      <c r="O823" s="209"/>
      <c r="P823" s="209"/>
    </row>
    <row r="824" spans="1:16" ht="11.25" customHeight="1" x14ac:dyDescent="0.2">
      <c r="A824" s="255"/>
      <c r="B824" s="259"/>
      <c r="C824" s="260"/>
      <c r="D824" s="73"/>
      <c r="E824" s="209"/>
      <c r="F824" s="209"/>
      <c r="G824" s="209"/>
      <c r="H824" s="209"/>
      <c r="I824" s="209"/>
      <c r="J824" s="209"/>
      <c r="K824" s="209"/>
      <c r="L824" s="209"/>
      <c r="M824" s="209"/>
      <c r="N824" s="209"/>
      <c r="O824" s="209"/>
      <c r="P824" s="209"/>
    </row>
    <row r="825" spans="1:16" ht="11.25" customHeight="1" x14ac:dyDescent="0.2">
      <c r="A825" s="255"/>
      <c r="B825" s="259"/>
      <c r="C825" s="260"/>
      <c r="D825" s="73"/>
      <c r="E825" s="209"/>
      <c r="F825" s="209"/>
      <c r="G825" s="209"/>
      <c r="H825" s="209"/>
      <c r="I825" s="209"/>
      <c r="J825" s="209"/>
      <c r="K825" s="209"/>
      <c r="L825" s="209"/>
      <c r="M825" s="209"/>
      <c r="N825" s="209"/>
      <c r="O825" s="209"/>
      <c r="P825" s="209"/>
    </row>
    <row r="826" spans="1:16" ht="11.25" customHeight="1" x14ac:dyDescent="0.2">
      <c r="A826" s="255"/>
      <c r="B826" s="259"/>
      <c r="C826" s="260"/>
      <c r="D826" s="73"/>
      <c r="E826" s="209"/>
      <c r="F826" s="209"/>
      <c r="G826" s="209"/>
      <c r="H826" s="209"/>
      <c r="I826" s="209"/>
      <c r="J826" s="209"/>
      <c r="K826" s="209"/>
      <c r="L826" s="209"/>
      <c r="M826" s="209"/>
      <c r="N826" s="209"/>
      <c r="O826" s="209"/>
      <c r="P826" s="209"/>
    </row>
    <row r="827" spans="1:16" ht="11.25" customHeight="1" x14ac:dyDescent="0.2">
      <c r="A827" s="255"/>
      <c r="B827" s="259"/>
      <c r="C827" s="260"/>
      <c r="D827" s="73"/>
      <c r="E827" s="209"/>
      <c r="F827" s="209"/>
      <c r="G827" s="209"/>
      <c r="H827" s="209"/>
      <c r="I827" s="209"/>
      <c r="J827" s="209"/>
      <c r="K827" s="209"/>
      <c r="L827" s="209"/>
      <c r="M827" s="209"/>
      <c r="N827" s="209"/>
      <c r="O827" s="209"/>
      <c r="P827" s="209"/>
    </row>
    <row r="828" spans="1:16" ht="11.25" customHeight="1" x14ac:dyDescent="0.2">
      <c r="A828" s="255"/>
      <c r="B828" s="259"/>
      <c r="C828" s="260"/>
      <c r="D828" s="73"/>
      <c r="E828" s="209"/>
      <c r="F828" s="209"/>
      <c r="G828" s="209"/>
      <c r="H828" s="209"/>
      <c r="I828" s="209"/>
      <c r="J828" s="209"/>
      <c r="K828" s="209"/>
      <c r="L828" s="209"/>
      <c r="M828" s="209"/>
      <c r="N828" s="209"/>
      <c r="O828" s="209"/>
      <c r="P828" s="209"/>
    </row>
    <row r="829" spans="1:16" ht="11.25" customHeight="1" x14ac:dyDescent="0.2">
      <c r="A829" s="255"/>
      <c r="B829" s="259"/>
      <c r="C829" s="260"/>
      <c r="D829" s="73"/>
      <c r="E829" s="209"/>
      <c r="F829" s="209"/>
      <c r="G829" s="209"/>
      <c r="H829" s="209"/>
      <c r="I829" s="209"/>
      <c r="J829" s="209"/>
      <c r="K829" s="209"/>
      <c r="L829" s="209"/>
      <c r="M829" s="209"/>
      <c r="N829" s="209"/>
      <c r="O829" s="209"/>
      <c r="P829" s="209"/>
    </row>
    <row r="830" spans="1:16" ht="11.25" customHeight="1" x14ac:dyDescent="0.2">
      <c r="A830" s="255"/>
      <c r="B830" s="259"/>
      <c r="C830" s="260"/>
      <c r="D830" s="73"/>
      <c r="E830" s="209"/>
      <c r="F830" s="209"/>
      <c r="G830" s="209"/>
      <c r="H830" s="209"/>
      <c r="I830" s="209"/>
      <c r="J830" s="209"/>
      <c r="K830" s="209"/>
      <c r="L830" s="209"/>
      <c r="M830" s="209"/>
      <c r="N830" s="209"/>
      <c r="O830" s="209"/>
      <c r="P830" s="209"/>
    </row>
    <row r="831" spans="1:16" ht="11.25" customHeight="1" x14ac:dyDescent="0.2">
      <c r="A831" s="255"/>
      <c r="B831" s="259"/>
      <c r="C831" s="260"/>
      <c r="D831" s="73"/>
      <c r="E831" s="209"/>
      <c r="F831" s="209"/>
      <c r="G831" s="209"/>
      <c r="H831" s="209"/>
      <c r="I831" s="209"/>
      <c r="J831" s="209"/>
      <c r="K831" s="209"/>
      <c r="L831" s="209"/>
      <c r="M831" s="209"/>
      <c r="N831" s="209"/>
      <c r="O831" s="209"/>
      <c r="P831" s="209"/>
    </row>
    <row r="832" spans="1:16" ht="11.25" customHeight="1" x14ac:dyDescent="0.2">
      <c r="A832" s="255"/>
      <c r="B832" s="259"/>
      <c r="C832" s="260"/>
      <c r="D832" s="73"/>
      <c r="E832" s="209"/>
      <c r="F832" s="209"/>
      <c r="G832" s="209"/>
      <c r="H832" s="209"/>
      <c r="I832" s="209"/>
      <c r="J832" s="209"/>
      <c r="K832" s="209"/>
      <c r="L832" s="209"/>
      <c r="M832" s="209"/>
      <c r="N832" s="209"/>
      <c r="O832" s="209"/>
      <c r="P832" s="209"/>
    </row>
    <row r="833" spans="1:16" ht="11.25" customHeight="1" x14ac:dyDescent="0.2">
      <c r="A833" s="255"/>
      <c r="B833" s="259"/>
      <c r="C833" s="260"/>
      <c r="D833" s="73"/>
      <c r="E833" s="209"/>
      <c r="F833" s="209"/>
      <c r="G833" s="209"/>
      <c r="H833" s="209"/>
      <c r="I833" s="209"/>
      <c r="J833" s="209"/>
      <c r="K833" s="209"/>
      <c r="L833" s="209"/>
      <c r="M833" s="209"/>
      <c r="N833" s="209"/>
      <c r="O833" s="209"/>
      <c r="P833" s="209"/>
    </row>
    <row r="834" spans="1:16" ht="11.25" customHeight="1" x14ac:dyDescent="0.2">
      <c r="A834" s="255"/>
      <c r="B834" s="259"/>
      <c r="C834" s="260"/>
      <c r="D834" s="73"/>
      <c r="E834" s="209"/>
      <c r="F834" s="209"/>
      <c r="G834" s="209"/>
      <c r="H834" s="209"/>
      <c r="I834" s="209"/>
      <c r="J834" s="209"/>
      <c r="K834" s="209"/>
      <c r="L834" s="209"/>
      <c r="M834" s="209"/>
      <c r="N834" s="209"/>
      <c r="O834" s="209"/>
      <c r="P834" s="209"/>
    </row>
    <row r="835" spans="1:16" ht="11.25" customHeight="1" x14ac:dyDescent="0.2">
      <c r="A835" s="255"/>
      <c r="B835" s="259"/>
      <c r="C835" s="260"/>
      <c r="D835" s="73"/>
      <c r="E835" s="209"/>
      <c r="F835" s="209"/>
      <c r="G835" s="209"/>
      <c r="H835" s="209"/>
      <c r="I835" s="209"/>
      <c r="J835" s="209"/>
      <c r="K835" s="209"/>
      <c r="L835" s="209"/>
      <c r="M835" s="209"/>
      <c r="N835" s="209"/>
      <c r="O835" s="209"/>
      <c r="P835" s="209"/>
    </row>
    <row r="836" spans="1:16" ht="11.25" customHeight="1" x14ac:dyDescent="0.2">
      <c r="A836" s="255"/>
      <c r="B836" s="259"/>
      <c r="C836" s="260"/>
      <c r="D836" s="73"/>
      <c r="E836" s="209"/>
      <c r="F836" s="209"/>
      <c r="G836" s="209"/>
      <c r="H836" s="209"/>
      <c r="I836" s="209"/>
      <c r="J836" s="209"/>
      <c r="K836" s="209"/>
      <c r="L836" s="209"/>
      <c r="M836" s="209"/>
      <c r="N836" s="209"/>
      <c r="O836" s="209"/>
      <c r="P836" s="209"/>
    </row>
    <row r="837" spans="1:16" ht="11.25" customHeight="1" x14ac:dyDescent="0.2">
      <c r="A837" s="255"/>
      <c r="B837" s="259"/>
      <c r="C837" s="260"/>
      <c r="D837" s="73"/>
      <c r="E837" s="209"/>
      <c r="F837" s="209"/>
      <c r="G837" s="209"/>
      <c r="H837" s="209"/>
      <c r="I837" s="209"/>
      <c r="J837" s="209"/>
      <c r="K837" s="209"/>
      <c r="L837" s="209"/>
      <c r="M837" s="209"/>
      <c r="N837" s="209"/>
      <c r="O837" s="209"/>
      <c r="P837" s="209"/>
    </row>
    <row r="838" spans="1:16" ht="11.25" customHeight="1" x14ac:dyDescent="0.2">
      <c r="A838" s="255"/>
      <c r="B838" s="259"/>
      <c r="C838" s="260"/>
      <c r="D838" s="73"/>
      <c r="E838" s="209"/>
      <c r="F838" s="209"/>
      <c r="G838" s="209"/>
      <c r="H838" s="209"/>
      <c r="I838" s="209"/>
      <c r="J838" s="209"/>
      <c r="K838" s="209"/>
      <c r="L838" s="209"/>
      <c r="M838" s="209"/>
      <c r="N838" s="209"/>
      <c r="O838" s="209"/>
      <c r="P838" s="209"/>
    </row>
    <row r="839" spans="1:16" ht="11.25" customHeight="1" x14ac:dyDescent="0.2">
      <c r="A839" s="255"/>
      <c r="B839" s="259"/>
      <c r="C839" s="260"/>
      <c r="D839" s="73"/>
      <c r="E839" s="209"/>
      <c r="F839" s="209"/>
      <c r="G839" s="209"/>
      <c r="H839" s="209"/>
      <c r="I839" s="209"/>
      <c r="J839" s="209"/>
      <c r="K839" s="209"/>
      <c r="L839" s="209"/>
      <c r="M839" s="209"/>
      <c r="N839" s="209"/>
      <c r="O839" s="209"/>
      <c r="P839" s="209"/>
    </row>
    <row r="840" spans="1:16" ht="11.25" customHeight="1" x14ac:dyDescent="0.2">
      <c r="A840" s="255"/>
      <c r="B840" s="259"/>
      <c r="C840" s="260"/>
      <c r="D840" s="73"/>
      <c r="E840" s="209"/>
      <c r="F840" s="209"/>
      <c r="G840" s="209"/>
      <c r="H840" s="209"/>
      <c r="I840" s="209"/>
      <c r="J840" s="209"/>
      <c r="K840" s="209"/>
      <c r="L840" s="209"/>
      <c r="M840" s="209"/>
      <c r="N840" s="209"/>
      <c r="O840" s="209"/>
      <c r="P840" s="209"/>
    </row>
    <row r="841" spans="1:16" ht="11.25" customHeight="1" x14ac:dyDescent="0.2">
      <c r="A841" s="255"/>
      <c r="B841" s="259"/>
      <c r="C841" s="260"/>
      <c r="D841" s="73"/>
      <c r="E841" s="209"/>
      <c r="F841" s="209"/>
      <c r="G841" s="209"/>
      <c r="H841" s="209"/>
      <c r="I841" s="209"/>
      <c r="J841" s="209"/>
      <c r="K841" s="209"/>
      <c r="L841" s="209"/>
      <c r="M841" s="209"/>
      <c r="N841" s="209"/>
      <c r="O841" s="209"/>
      <c r="P841" s="209"/>
    </row>
    <row r="842" spans="1:16" ht="11.25" customHeight="1" x14ac:dyDescent="0.2">
      <c r="A842" s="255"/>
      <c r="B842" s="259"/>
      <c r="C842" s="260"/>
      <c r="D842" s="73"/>
      <c r="E842" s="209"/>
      <c r="F842" s="209"/>
      <c r="G842" s="209"/>
      <c r="H842" s="209"/>
      <c r="I842" s="209"/>
      <c r="J842" s="209"/>
      <c r="K842" s="209"/>
      <c r="L842" s="209"/>
      <c r="M842" s="209"/>
      <c r="N842" s="209"/>
      <c r="O842" s="209"/>
      <c r="P842" s="209"/>
    </row>
    <row r="843" spans="1:16" ht="11.25" customHeight="1" x14ac:dyDescent="0.2">
      <c r="A843" s="255"/>
      <c r="B843" s="259"/>
      <c r="C843" s="260"/>
      <c r="D843" s="73"/>
      <c r="E843" s="209"/>
      <c r="F843" s="209"/>
      <c r="G843" s="209"/>
      <c r="H843" s="209"/>
      <c r="I843" s="209"/>
      <c r="J843" s="209"/>
      <c r="K843" s="209"/>
      <c r="L843" s="209"/>
      <c r="M843" s="209"/>
      <c r="N843" s="209"/>
      <c r="O843" s="209"/>
      <c r="P843" s="209"/>
    </row>
    <row r="844" spans="1:16" ht="11.25" customHeight="1" x14ac:dyDescent="0.2">
      <c r="A844" s="255"/>
      <c r="B844" s="259"/>
      <c r="C844" s="260"/>
      <c r="D844" s="73"/>
      <c r="E844" s="209"/>
      <c r="F844" s="209"/>
      <c r="G844" s="209"/>
      <c r="H844" s="209"/>
      <c r="I844" s="209"/>
      <c r="J844" s="209"/>
      <c r="K844" s="209"/>
      <c r="L844" s="209"/>
      <c r="M844" s="209"/>
      <c r="N844" s="209"/>
      <c r="O844" s="209"/>
      <c r="P844" s="209"/>
    </row>
    <row r="845" spans="1:16" ht="11.25" customHeight="1" x14ac:dyDescent="0.2">
      <c r="A845" s="255"/>
      <c r="B845" s="259"/>
      <c r="C845" s="260"/>
      <c r="D845" s="73"/>
      <c r="E845" s="209"/>
      <c r="F845" s="209"/>
      <c r="G845" s="209"/>
      <c r="H845" s="209"/>
      <c r="I845" s="209"/>
      <c r="J845" s="209"/>
      <c r="K845" s="209"/>
      <c r="L845" s="209"/>
      <c r="M845" s="209"/>
      <c r="N845" s="209"/>
      <c r="O845" s="209"/>
      <c r="P845" s="209"/>
    </row>
    <row r="846" spans="1:16" ht="11.25" customHeight="1" x14ac:dyDescent="0.2">
      <c r="A846" s="255"/>
      <c r="B846" s="259"/>
      <c r="C846" s="260"/>
      <c r="D846" s="73"/>
      <c r="E846" s="209"/>
      <c r="F846" s="209"/>
      <c r="G846" s="209"/>
      <c r="H846" s="209"/>
      <c r="I846" s="209"/>
      <c r="J846" s="209"/>
      <c r="K846" s="209"/>
      <c r="L846" s="209"/>
      <c r="M846" s="209"/>
      <c r="N846" s="209"/>
      <c r="O846" s="209"/>
      <c r="P846" s="209"/>
    </row>
    <row r="847" spans="1:16" ht="11.25" customHeight="1" x14ac:dyDescent="0.2">
      <c r="A847" s="255"/>
      <c r="B847" s="259"/>
      <c r="C847" s="260"/>
      <c r="D847" s="73"/>
      <c r="E847" s="209"/>
      <c r="F847" s="209"/>
      <c r="G847" s="209"/>
      <c r="H847" s="209"/>
      <c r="I847" s="209"/>
      <c r="J847" s="209"/>
      <c r="K847" s="209"/>
      <c r="L847" s="209"/>
      <c r="M847" s="209"/>
      <c r="N847" s="209"/>
      <c r="O847" s="209"/>
      <c r="P847" s="209"/>
    </row>
    <row r="848" spans="1:16" ht="11.25" customHeight="1" x14ac:dyDescent="0.2">
      <c r="A848" s="255"/>
      <c r="B848" s="259"/>
      <c r="C848" s="260"/>
      <c r="D848" s="73"/>
      <c r="E848" s="209"/>
      <c r="F848" s="209"/>
      <c r="G848" s="209"/>
      <c r="H848" s="209"/>
      <c r="I848" s="209"/>
      <c r="J848" s="209"/>
      <c r="K848" s="209"/>
      <c r="L848" s="209"/>
      <c r="M848" s="209"/>
      <c r="N848" s="209"/>
      <c r="O848" s="209"/>
      <c r="P848" s="209"/>
    </row>
    <row r="849" spans="1:16" ht="11.25" customHeight="1" x14ac:dyDescent="0.2">
      <c r="A849" s="255"/>
      <c r="B849" s="259"/>
      <c r="C849" s="260"/>
      <c r="D849" s="73"/>
      <c r="E849" s="209"/>
      <c r="F849" s="209"/>
      <c r="G849" s="209"/>
      <c r="H849" s="209"/>
      <c r="I849" s="209"/>
      <c r="J849" s="209"/>
      <c r="K849" s="209"/>
      <c r="L849" s="209"/>
      <c r="M849" s="209"/>
      <c r="N849" s="209"/>
      <c r="O849" s="209"/>
      <c r="P849" s="209"/>
    </row>
    <row r="850" spans="1:16" ht="11.25" customHeight="1" x14ac:dyDescent="0.2">
      <c r="A850" s="255"/>
      <c r="B850" s="259"/>
      <c r="C850" s="260"/>
      <c r="D850" s="73"/>
      <c r="E850" s="209"/>
      <c r="F850" s="209"/>
      <c r="G850" s="209"/>
      <c r="H850" s="209"/>
      <c r="I850" s="209"/>
      <c r="J850" s="209"/>
      <c r="K850" s="209"/>
      <c r="L850" s="209"/>
      <c r="M850" s="209"/>
      <c r="N850" s="209"/>
      <c r="O850" s="209"/>
      <c r="P850" s="209"/>
    </row>
    <row r="851" spans="1:16" ht="11.25" customHeight="1" x14ac:dyDescent="0.2">
      <c r="A851" s="255"/>
      <c r="B851" s="259"/>
      <c r="C851" s="260"/>
      <c r="D851" s="73"/>
      <c r="E851" s="209"/>
      <c r="F851" s="209"/>
      <c r="G851" s="209"/>
      <c r="H851" s="209"/>
      <c r="I851" s="209"/>
      <c r="J851" s="209"/>
      <c r="K851" s="209"/>
      <c r="L851" s="209"/>
      <c r="M851" s="209"/>
      <c r="N851" s="209"/>
      <c r="O851" s="209"/>
      <c r="P851" s="209"/>
    </row>
    <row r="852" spans="1:16" ht="11.25" customHeight="1" x14ac:dyDescent="0.2">
      <c r="A852" s="255"/>
      <c r="B852" s="259"/>
      <c r="C852" s="260"/>
      <c r="D852" s="73"/>
      <c r="E852" s="209"/>
      <c r="F852" s="209"/>
      <c r="G852" s="209"/>
      <c r="H852" s="209"/>
      <c r="I852" s="209"/>
      <c r="J852" s="209"/>
      <c r="K852" s="209"/>
      <c r="L852" s="209"/>
      <c r="M852" s="209"/>
      <c r="N852" s="209"/>
      <c r="O852" s="209"/>
      <c r="P852" s="209"/>
    </row>
    <row r="853" spans="1:16" ht="11.25" customHeight="1" x14ac:dyDescent="0.2">
      <c r="A853" s="255"/>
      <c r="B853" s="259"/>
      <c r="C853" s="260"/>
      <c r="D853" s="73"/>
      <c r="E853" s="209"/>
      <c r="F853" s="209"/>
      <c r="G853" s="209"/>
      <c r="H853" s="209"/>
      <c r="I853" s="209"/>
      <c r="J853" s="209"/>
      <c r="K853" s="209"/>
      <c r="L853" s="209"/>
      <c r="M853" s="209"/>
      <c r="N853" s="209"/>
      <c r="O853" s="209"/>
      <c r="P853" s="209"/>
    </row>
    <row r="854" spans="1:16" ht="11.25" customHeight="1" x14ac:dyDescent="0.2">
      <c r="A854" s="255"/>
      <c r="B854" s="259"/>
      <c r="C854" s="260"/>
      <c r="D854" s="73"/>
      <c r="E854" s="209"/>
      <c r="F854" s="209"/>
      <c r="G854" s="209"/>
      <c r="H854" s="209"/>
      <c r="I854" s="209"/>
      <c r="J854" s="209"/>
      <c r="K854" s="209"/>
      <c r="L854" s="209"/>
      <c r="M854" s="209"/>
      <c r="N854" s="209"/>
      <c r="O854" s="209"/>
      <c r="P854" s="209"/>
    </row>
    <row r="855" spans="1:16" ht="11.25" customHeight="1" x14ac:dyDescent="0.2">
      <c r="A855" s="255"/>
      <c r="B855" s="259"/>
      <c r="C855" s="260"/>
      <c r="D855" s="73"/>
      <c r="E855" s="209"/>
      <c r="F855" s="209"/>
      <c r="G855" s="209"/>
      <c r="H855" s="209"/>
      <c r="I855" s="209"/>
      <c r="J855" s="209"/>
      <c r="K855" s="209"/>
      <c r="L855" s="209"/>
      <c r="M855" s="209"/>
      <c r="N855" s="209"/>
      <c r="O855" s="209"/>
      <c r="P855" s="209"/>
    </row>
    <row r="856" spans="1:16" ht="11.25" customHeight="1" x14ac:dyDescent="0.2">
      <c r="A856" s="255"/>
      <c r="B856" s="259"/>
      <c r="C856" s="260"/>
      <c r="D856" s="73"/>
      <c r="E856" s="209"/>
      <c r="F856" s="209"/>
      <c r="G856" s="209"/>
      <c r="H856" s="209"/>
      <c r="I856" s="209"/>
      <c r="J856" s="209"/>
      <c r="K856" s="209"/>
      <c r="L856" s="209"/>
      <c r="M856" s="209"/>
      <c r="N856" s="209"/>
      <c r="O856" s="209"/>
      <c r="P856" s="209"/>
    </row>
    <row r="857" spans="1:16" ht="11.25" customHeight="1" x14ac:dyDescent="0.2">
      <c r="A857" s="255"/>
      <c r="B857" s="259"/>
      <c r="C857" s="260"/>
      <c r="D857" s="73"/>
      <c r="E857" s="209"/>
      <c r="F857" s="209"/>
      <c r="G857" s="209"/>
      <c r="H857" s="209"/>
      <c r="I857" s="209"/>
      <c r="J857" s="209"/>
      <c r="K857" s="209"/>
      <c r="L857" s="209"/>
      <c r="M857" s="209"/>
      <c r="N857" s="209"/>
      <c r="O857" s="209"/>
      <c r="P857" s="209"/>
    </row>
    <row r="858" spans="1:16" ht="11.25" customHeight="1" x14ac:dyDescent="0.2">
      <c r="A858" s="255"/>
      <c r="B858" s="259"/>
      <c r="C858" s="260"/>
      <c r="D858" s="73"/>
      <c r="E858" s="209"/>
      <c r="F858" s="209"/>
      <c r="G858" s="209"/>
      <c r="H858" s="209"/>
      <c r="I858" s="209"/>
      <c r="J858" s="209"/>
      <c r="K858" s="209"/>
      <c r="L858" s="209"/>
      <c r="M858" s="209"/>
      <c r="N858" s="209"/>
      <c r="O858" s="209"/>
      <c r="P858" s="209"/>
    </row>
    <row r="859" spans="1:16" ht="11.25" customHeight="1" x14ac:dyDescent="0.2">
      <c r="A859" s="255"/>
      <c r="B859" s="259"/>
      <c r="C859" s="260"/>
      <c r="D859" s="73"/>
      <c r="E859" s="209"/>
      <c r="F859" s="209"/>
      <c r="G859" s="209"/>
      <c r="H859" s="209"/>
      <c r="I859" s="209"/>
      <c r="J859" s="209"/>
      <c r="K859" s="209"/>
      <c r="L859" s="209"/>
      <c r="M859" s="209"/>
      <c r="N859" s="209"/>
      <c r="O859" s="209"/>
      <c r="P859" s="209"/>
    </row>
    <row r="860" spans="1:16" ht="11.25" customHeight="1" x14ac:dyDescent="0.2">
      <c r="A860" s="255"/>
      <c r="B860" s="259"/>
      <c r="C860" s="260"/>
      <c r="D860" s="73"/>
      <c r="E860" s="209"/>
      <c r="F860" s="209"/>
      <c r="G860" s="209"/>
      <c r="H860" s="209"/>
      <c r="I860" s="209"/>
      <c r="J860" s="209"/>
      <c r="K860" s="209"/>
      <c r="L860" s="209"/>
      <c r="M860" s="209"/>
      <c r="N860" s="209"/>
      <c r="O860" s="209"/>
      <c r="P860" s="209"/>
    </row>
    <row r="861" spans="1:16" ht="11.25" customHeight="1" x14ac:dyDescent="0.2">
      <c r="A861" s="255"/>
      <c r="B861" s="259"/>
      <c r="C861" s="260"/>
      <c r="D861" s="73"/>
      <c r="E861" s="209"/>
      <c r="F861" s="209"/>
      <c r="G861" s="209"/>
      <c r="H861" s="209"/>
      <c r="I861" s="209"/>
      <c r="J861" s="209"/>
      <c r="K861" s="209"/>
      <c r="L861" s="209"/>
      <c r="M861" s="209"/>
      <c r="N861" s="209"/>
      <c r="O861" s="209"/>
      <c r="P861" s="209"/>
    </row>
    <row r="862" spans="1:16" ht="11.25" customHeight="1" x14ac:dyDescent="0.2">
      <c r="A862" s="255"/>
      <c r="B862" s="259"/>
      <c r="C862" s="260"/>
      <c r="D862" s="73"/>
      <c r="E862" s="209"/>
      <c r="F862" s="209"/>
      <c r="G862" s="209"/>
      <c r="H862" s="209"/>
      <c r="I862" s="209"/>
      <c r="J862" s="209"/>
      <c r="K862" s="209"/>
      <c r="L862" s="209"/>
      <c r="M862" s="209"/>
      <c r="N862" s="209"/>
      <c r="O862" s="209"/>
      <c r="P862" s="209"/>
    </row>
    <row r="863" spans="1:16" ht="11.25" customHeight="1" x14ac:dyDescent="0.2">
      <c r="A863" s="255"/>
      <c r="B863" s="259"/>
      <c r="C863" s="260"/>
      <c r="D863" s="73"/>
      <c r="E863" s="209"/>
      <c r="F863" s="209"/>
      <c r="G863" s="209"/>
      <c r="H863" s="209"/>
      <c r="I863" s="209"/>
      <c r="J863" s="209"/>
      <c r="K863" s="209"/>
      <c r="L863" s="209"/>
      <c r="M863" s="209"/>
      <c r="N863" s="209"/>
      <c r="O863" s="209"/>
      <c r="P863" s="209"/>
    </row>
    <row r="864" spans="1:16" ht="11.25" customHeight="1" x14ac:dyDescent="0.2">
      <c r="A864" s="255"/>
      <c r="B864" s="259"/>
      <c r="C864" s="260"/>
      <c r="D864" s="73"/>
      <c r="E864" s="209"/>
      <c r="F864" s="209"/>
      <c r="G864" s="209"/>
      <c r="H864" s="209"/>
      <c r="I864" s="209"/>
      <c r="J864" s="209"/>
      <c r="K864" s="209"/>
      <c r="L864" s="209"/>
      <c r="M864" s="209"/>
      <c r="N864" s="209"/>
      <c r="O864" s="209"/>
      <c r="P864" s="209"/>
    </row>
    <row r="865" spans="1:16" ht="11.25" customHeight="1" x14ac:dyDescent="0.2">
      <c r="A865" s="255"/>
      <c r="B865" s="259"/>
      <c r="C865" s="260"/>
      <c r="D865" s="73"/>
      <c r="E865" s="209"/>
      <c r="F865" s="209"/>
      <c r="G865" s="209"/>
      <c r="H865" s="209"/>
      <c r="I865" s="209"/>
      <c r="J865" s="209"/>
      <c r="K865" s="209"/>
      <c r="L865" s="209"/>
      <c r="M865" s="209"/>
      <c r="N865" s="209"/>
      <c r="O865" s="209"/>
      <c r="P865" s="209"/>
    </row>
    <row r="866" spans="1:16" ht="11.25" customHeight="1" x14ac:dyDescent="0.2">
      <c r="A866" s="255"/>
      <c r="B866" s="259"/>
      <c r="C866" s="260"/>
      <c r="D866" s="73"/>
      <c r="E866" s="209"/>
      <c r="F866" s="209"/>
      <c r="G866" s="209"/>
      <c r="H866" s="209"/>
      <c r="I866" s="209"/>
      <c r="J866" s="209"/>
      <c r="K866" s="209"/>
      <c r="L866" s="209"/>
      <c r="M866" s="209"/>
      <c r="N866" s="209"/>
      <c r="O866" s="209"/>
      <c r="P866" s="209"/>
    </row>
    <row r="867" spans="1:16" ht="11.25" customHeight="1" x14ac:dyDescent="0.2">
      <c r="A867" s="255"/>
      <c r="B867" s="259"/>
      <c r="C867" s="260"/>
      <c r="D867" s="73"/>
      <c r="E867" s="209"/>
      <c r="F867" s="209"/>
      <c r="G867" s="209"/>
      <c r="H867" s="209"/>
      <c r="I867" s="209"/>
      <c r="J867" s="209"/>
      <c r="K867" s="209"/>
      <c r="L867" s="209"/>
      <c r="M867" s="209"/>
      <c r="N867" s="209"/>
      <c r="O867" s="209"/>
      <c r="P867" s="209"/>
    </row>
    <row r="868" spans="1:16" ht="11.25" customHeight="1" x14ac:dyDescent="0.2">
      <c r="A868" s="255"/>
      <c r="B868" s="259"/>
      <c r="C868" s="260"/>
      <c r="D868" s="73"/>
      <c r="E868" s="209"/>
      <c r="F868" s="209"/>
      <c r="G868" s="209"/>
      <c r="H868" s="209"/>
      <c r="I868" s="209"/>
      <c r="J868" s="209"/>
      <c r="K868" s="209"/>
      <c r="L868" s="209"/>
      <c r="M868" s="209"/>
      <c r="N868" s="209"/>
      <c r="O868" s="209"/>
      <c r="P868" s="209"/>
    </row>
    <row r="869" spans="1:16" ht="11.25" customHeight="1" x14ac:dyDescent="0.2">
      <c r="A869" s="255"/>
      <c r="B869" s="259"/>
      <c r="C869" s="260"/>
      <c r="D869" s="73"/>
      <c r="E869" s="209"/>
      <c r="F869" s="209"/>
      <c r="G869" s="209"/>
      <c r="H869" s="209"/>
      <c r="I869" s="209"/>
      <c r="J869" s="209"/>
      <c r="K869" s="209"/>
      <c r="L869" s="209"/>
      <c r="M869" s="209"/>
      <c r="N869" s="209"/>
      <c r="O869" s="209"/>
      <c r="P869" s="209"/>
    </row>
    <row r="870" spans="1:16" ht="11.25" customHeight="1" x14ac:dyDescent="0.2">
      <c r="A870" s="255"/>
      <c r="B870" s="259"/>
      <c r="C870" s="260"/>
      <c r="D870" s="73"/>
      <c r="E870" s="209"/>
      <c r="F870" s="209"/>
      <c r="G870" s="209"/>
      <c r="H870" s="209"/>
      <c r="I870" s="209"/>
      <c r="J870" s="209"/>
      <c r="K870" s="209"/>
      <c r="L870" s="209"/>
      <c r="M870" s="209"/>
      <c r="N870" s="209"/>
      <c r="O870" s="209"/>
      <c r="P870" s="209"/>
    </row>
    <row r="871" spans="1:16" ht="11.25" customHeight="1" x14ac:dyDescent="0.2">
      <c r="A871" s="255"/>
      <c r="B871" s="259"/>
      <c r="C871" s="260"/>
      <c r="D871" s="73"/>
      <c r="E871" s="209"/>
      <c r="F871" s="209"/>
      <c r="G871" s="209"/>
      <c r="H871" s="209"/>
      <c r="I871" s="209"/>
      <c r="J871" s="209"/>
      <c r="K871" s="209"/>
      <c r="L871" s="209"/>
      <c r="M871" s="209"/>
      <c r="N871" s="209"/>
      <c r="O871" s="209"/>
      <c r="P871" s="209"/>
    </row>
    <row r="872" spans="1:16" ht="11.25" customHeight="1" x14ac:dyDescent="0.2">
      <c r="A872" s="255"/>
      <c r="B872" s="259"/>
      <c r="C872" s="260"/>
      <c r="D872" s="73"/>
      <c r="E872" s="209"/>
      <c r="F872" s="209"/>
      <c r="G872" s="209"/>
      <c r="H872" s="209"/>
      <c r="I872" s="209"/>
      <c r="J872" s="209"/>
      <c r="K872" s="209"/>
      <c r="L872" s="209"/>
      <c r="M872" s="209"/>
      <c r="N872" s="209"/>
      <c r="O872" s="209"/>
      <c r="P872" s="209"/>
    </row>
    <row r="873" spans="1:16" ht="11.25" customHeight="1" x14ac:dyDescent="0.2">
      <c r="A873" s="255"/>
      <c r="B873" s="259"/>
      <c r="C873" s="260"/>
      <c r="D873" s="73"/>
      <c r="E873" s="209"/>
      <c r="F873" s="209"/>
      <c r="G873" s="209"/>
      <c r="H873" s="209"/>
      <c r="I873" s="209"/>
      <c r="J873" s="209"/>
      <c r="K873" s="209"/>
      <c r="L873" s="209"/>
      <c r="M873" s="209"/>
      <c r="N873" s="209"/>
      <c r="O873" s="209"/>
      <c r="P873" s="209"/>
    </row>
    <row r="874" spans="1:16" ht="11.25" customHeight="1" x14ac:dyDescent="0.2">
      <c r="A874" s="255"/>
      <c r="B874" s="259"/>
      <c r="C874" s="260"/>
      <c r="D874" s="73"/>
      <c r="E874" s="209"/>
      <c r="F874" s="209"/>
      <c r="G874" s="209"/>
      <c r="H874" s="209"/>
      <c r="I874" s="209"/>
      <c r="J874" s="209"/>
      <c r="K874" s="209"/>
      <c r="L874" s="209"/>
      <c r="M874" s="209"/>
      <c r="N874" s="209"/>
      <c r="O874" s="209"/>
      <c r="P874" s="209"/>
    </row>
    <row r="875" spans="1:16" ht="11.25" customHeight="1" x14ac:dyDescent="0.2">
      <c r="A875" s="255"/>
      <c r="B875" s="259"/>
      <c r="C875" s="260"/>
      <c r="D875" s="73"/>
      <c r="E875" s="209"/>
      <c r="F875" s="209"/>
      <c r="G875" s="209"/>
      <c r="H875" s="209"/>
      <c r="I875" s="209"/>
      <c r="J875" s="209"/>
      <c r="K875" s="209"/>
      <c r="L875" s="209"/>
      <c r="M875" s="209"/>
      <c r="N875" s="209"/>
      <c r="O875" s="209"/>
      <c r="P875" s="209"/>
    </row>
    <row r="876" spans="1:16" ht="11.25" customHeight="1" x14ac:dyDescent="0.2">
      <c r="A876" s="255"/>
      <c r="B876" s="259"/>
      <c r="C876" s="260"/>
      <c r="D876" s="73"/>
      <c r="E876" s="209"/>
      <c r="F876" s="209"/>
      <c r="G876" s="209"/>
      <c r="H876" s="209"/>
      <c r="I876" s="209"/>
      <c r="J876" s="209"/>
      <c r="K876" s="209"/>
      <c r="L876" s="209"/>
      <c r="M876" s="209"/>
      <c r="N876" s="209"/>
      <c r="O876" s="209"/>
      <c r="P876" s="209"/>
    </row>
    <row r="877" spans="1:16" ht="11.25" customHeight="1" x14ac:dyDescent="0.2">
      <c r="A877" s="255"/>
      <c r="B877" s="259"/>
      <c r="C877" s="260"/>
      <c r="D877" s="73"/>
      <c r="E877" s="209"/>
      <c r="F877" s="209"/>
      <c r="G877" s="209"/>
      <c r="H877" s="209"/>
      <c r="I877" s="209"/>
      <c r="J877" s="209"/>
      <c r="K877" s="209"/>
      <c r="L877" s="209"/>
      <c r="M877" s="209"/>
      <c r="N877" s="209"/>
      <c r="O877" s="209"/>
      <c r="P877" s="209"/>
    </row>
    <row r="878" spans="1:16" ht="11.25" customHeight="1" x14ac:dyDescent="0.2">
      <c r="A878" s="255"/>
      <c r="B878" s="259"/>
      <c r="C878" s="260"/>
      <c r="D878" s="73"/>
      <c r="E878" s="209"/>
      <c r="F878" s="209"/>
      <c r="G878" s="209"/>
      <c r="H878" s="209"/>
      <c r="I878" s="209"/>
      <c r="J878" s="209"/>
      <c r="K878" s="209"/>
      <c r="L878" s="209"/>
      <c r="M878" s="209"/>
      <c r="N878" s="209"/>
      <c r="O878" s="209"/>
      <c r="P878" s="209"/>
    </row>
    <row r="879" spans="1:16" ht="11.25" customHeight="1" x14ac:dyDescent="0.2">
      <c r="A879" s="255"/>
      <c r="B879" s="259"/>
      <c r="C879" s="260"/>
      <c r="D879" s="73"/>
      <c r="E879" s="209"/>
      <c r="F879" s="209"/>
      <c r="G879" s="209"/>
      <c r="H879" s="209"/>
      <c r="I879" s="209"/>
      <c r="J879" s="209"/>
      <c r="K879" s="209"/>
      <c r="L879" s="209"/>
      <c r="M879" s="209"/>
      <c r="N879" s="209"/>
      <c r="O879" s="209"/>
      <c r="P879" s="209"/>
    </row>
    <row r="880" spans="1:16" ht="11.25" customHeight="1" x14ac:dyDescent="0.2">
      <c r="A880" s="255"/>
      <c r="B880" s="259"/>
      <c r="C880" s="260"/>
      <c r="D880" s="73"/>
      <c r="E880" s="209"/>
      <c r="F880" s="209"/>
      <c r="G880" s="209"/>
      <c r="H880" s="209"/>
      <c r="I880" s="209"/>
      <c r="J880" s="209"/>
      <c r="K880" s="209"/>
      <c r="L880" s="209"/>
      <c r="M880" s="209"/>
      <c r="N880" s="209"/>
      <c r="O880" s="209"/>
      <c r="P880" s="209"/>
    </row>
    <row r="881" spans="1:16" ht="11.25" customHeight="1" x14ac:dyDescent="0.2">
      <c r="A881" s="255"/>
      <c r="B881" s="259"/>
      <c r="C881" s="260"/>
      <c r="D881" s="73"/>
      <c r="E881" s="209"/>
      <c r="F881" s="209"/>
      <c r="G881" s="209"/>
      <c r="H881" s="209"/>
      <c r="I881" s="209"/>
      <c r="J881" s="209"/>
      <c r="K881" s="209"/>
      <c r="L881" s="209"/>
      <c r="M881" s="209"/>
      <c r="N881" s="209"/>
      <c r="O881" s="209"/>
      <c r="P881" s="209"/>
    </row>
    <row r="882" spans="1:16" ht="11.25" customHeight="1" x14ac:dyDescent="0.2">
      <c r="A882" s="255"/>
      <c r="B882" s="259"/>
      <c r="C882" s="260"/>
      <c r="D882" s="73"/>
      <c r="E882" s="209"/>
      <c r="F882" s="209"/>
      <c r="G882" s="209"/>
      <c r="H882" s="209"/>
      <c r="I882" s="209"/>
      <c r="J882" s="209"/>
      <c r="K882" s="209"/>
      <c r="L882" s="209"/>
      <c r="M882" s="209"/>
      <c r="N882" s="209"/>
      <c r="O882" s="209"/>
      <c r="P882" s="209"/>
    </row>
    <row r="883" spans="1:16" ht="11.25" customHeight="1" x14ac:dyDescent="0.2">
      <c r="A883" s="255"/>
      <c r="B883" s="259"/>
      <c r="C883" s="260"/>
      <c r="D883" s="73"/>
      <c r="E883" s="209"/>
      <c r="F883" s="209"/>
      <c r="G883" s="209"/>
      <c r="H883" s="209"/>
      <c r="I883" s="209"/>
      <c r="J883" s="209"/>
      <c r="K883" s="209"/>
      <c r="L883" s="209"/>
      <c r="M883" s="209"/>
      <c r="N883" s="209"/>
      <c r="O883" s="209"/>
      <c r="P883" s="209"/>
    </row>
    <row r="884" spans="1:16" ht="11.25" customHeight="1" x14ac:dyDescent="0.2">
      <c r="A884" s="255"/>
      <c r="B884" s="259"/>
      <c r="C884" s="260"/>
      <c r="D884" s="73"/>
      <c r="E884" s="209"/>
      <c r="F884" s="209"/>
      <c r="G884" s="209"/>
      <c r="H884" s="209"/>
      <c r="I884" s="209"/>
      <c r="J884" s="209"/>
      <c r="K884" s="209"/>
      <c r="L884" s="209"/>
      <c r="M884" s="209"/>
      <c r="N884" s="209"/>
      <c r="O884" s="209"/>
      <c r="P884" s="209"/>
    </row>
    <row r="885" spans="1:16" ht="11.25" customHeight="1" x14ac:dyDescent="0.2">
      <c r="A885" s="255"/>
      <c r="B885" s="259"/>
      <c r="C885" s="260"/>
      <c r="D885" s="73"/>
      <c r="E885" s="209"/>
      <c r="F885" s="209"/>
      <c r="G885" s="209"/>
      <c r="H885" s="209"/>
      <c r="I885" s="209"/>
      <c r="J885" s="209"/>
      <c r="K885" s="209"/>
      <c r="L885" s="209"/>
      <c r="M885" s="209"/>
      <c r="N885" s="209"/>
      <c r="O885" s="209"/>
      <c r="P885" s="209"/>
    </row>
    <row r="886" spans="1:16" ht="11.25" customHeight="1" x14ac:dyDescent="0.2">
      <c r="A886" s="255"/>
      <c r="B886" s="259"/>
      <c r="C886" s="260"/>
      <c r="D886" s="73"/>
      <c r="E886" s="209"/>
      <c r="F886" s="209"/>
      <c r="G886" s="209"/>
      <c r="H886" s="209"/>
      <c r="I886" s="209"/>
      <c r="J886" s="209"/>
      <c r="K886" s="209"/>
      <c r="L886" s="209"/>
      <c r="M886" s="209"/>
      <c r="N886" s="209"/>
      <c r="O886" s="209"/>
      <c r="P886" s="209"/>
    </row>
    <row r="887" spans="1:16" ht="11.25" customHeight="1" x14ac:dyDescent="0.2">
      <c r="A887" s="255"/>
      <c r="B887" s="259"/>
      <c r="C887" s="260"/>
      <c r="D887" s="73"/>
      <c r="E887" s="209"/>
      <c r="F887" s="209"/>
      <c r="G887" s="209"/>
      <c r="H887" s="209"/>
      <c r="I887" s="209"/>
      <c r="J887" s="209"/>
      <c r="K887" s="209"/>
      <c r="L887" s="209"/>
      <c r="M887" s="209"/>
      <c r="N887" s="209"/>
      <c r="O887" s="209"/>
      <c r="P887" s="209"/>
    </row>
    <row r="888" spans="1:16" ht="11.25" customHeight="1" x14ac:dyDescent="0.2">
      <c r="A888" s="255"/>
      <c r="B888" s="259"/>
      <c r="C888" s="260"/>
      <c r="D888" s="73"/>
      <c r="E888" s="209"/>
      <c r="F888" s="209"/>
      <c r="G888" s="209"/>
      <c r="H888" s="209"/>
      <c r="I888" s="209"/>
      <c r="J888" s="209"/>
      <c r="K888" s="209"/>
      <c r="L888" s="209"/>
      <c r="M888" s="209"/>
      <c r="N888" s="209"/>
      <c r="O888" s="209"/>
      <c r="P888" s="209"/>
    </row>
    <row r="889" spans="1:16" ht="11.25" customHeight="1" x14ac:dyDescent="0.2">
      <c r="A889" s="255"/>
      <c r="B889" s="259"/>
      <c r="C889" s="260"/>
      <c r="D889" s="73"/>
      <c r="E889" s="209"/>
      <c r="F889" s="209"/>
      <c r="G889" s="209"/>
      <c r="H889" s="209"/>
      <c r="I889" s="209"/>
      <c r="J889" s="209"/>
      <c r="K889" s="209"/>
      <c r="L889" s="209"/>
      <c r="M889" s="209"/>
      <c r="N889" s="209"/>
      <c r="O889" s="209"/>
      <c r="P889" s="209"/>
    </row>
    <row r="890" spans="1:16" ht="11.25" customHeight="1" x14ac:dyDescent="0.2">
      <c r="A890" s="255"/>
      <c r="B890" s="259"/>
      <c r="C890" s="260"/>
      <c r="D890" s="73"/>
      <c r="E890" s="209"/>
      <c r="F890" s="209"/>
      <c r="G890" s="209"/>
      <c r="H890" s="209"/>
      <c r="I890" s="209"/>
      <c r="J890" s="209"/>
      <c r="K890" s="209"/>
      <c r="L890" s="209"/>
      <c r="M890" s="209"/>
      <c r="N890" s="209"/>
      <c r="O890" s="209"/>
      <c r="P890" s="209"/>
    </row>
    <row r="891" spans="1:16" ht="11.25" customHeight="1" x14ac:dyDescent="0.2">
      <c r="A891" s="255"/>
      <c r="B891" s="259"/>
      <c r="C891" s="260"/>
      <c r="D891" s="73"/>
      <c r="E891" s="209"/>
      <c r="F891" s="209"/>
      <c r="G891" s="209"/>
      <c r="H891" s="209"/>
      <c r="I891" s="209"/>
      <c r="J891" s="209"/>
      <c r="K891" s="209"/>
      <c r="L891" s="209"/>
      <c r="M891" s="209"/>
      <c r="N891" s="209"/>
      <c r="O891" s="209"/>
      <c r="P891" s="209"/>
    </row>
    <row r="892" spans="1:16" ht="11.25" customHeight="1" x14ac:dyDescent="0.2">
      <c r="A892" s="255"/>
      <c r="B892" s="259"/>
      <c r="C892" s="260"/>
      <c r="D892" s="73"/>
      <c r="E892" s="209"/>
      <c r="F892" s="209"/>
      <c r="G892" s="209"/>
      <c r="H892" s="209"/>
      <c r="I892" s="209"/>
      <c r="J892" s="209"/>
      <c r="K892" s="209"/>
      <c r="L892" s="209"/>
      <c r="M892" s="209"/>
      <c r="N892" s="209"/>
      <c r="O892" s="209"/>
      <c r="P892" s="209"/>
    </row>
    <row r="893" spans="1:16" ht="11.25" customHeight="1" x14ac:dyDescent="0.2">
      <c r="A893" s="255"/>
      <c r="B893" s="259"/>
      <c r="C893" s="260"/>
      <c r="D893" s="73"/>
      <c r="E893" s="209"/>
      <c r="F893" s="209"/>
      <c r="G893" s="209"/>
      <c r="H893" s="209"/>
      <c r="I893" s="209"/>
      <c r="J893" s="209"/>
      <c r="K893" s="209"/>
      <c r="L893" s="209"/>
      <c r="M893" s="209"/>
      <c r="N893" s="209"/>
      <c r="O893" s="209"/>
      <c r="P893" s="209"/>
    </row>
    <row r="894" spans="1:16" ht="11.25" customHeight="1" x14ac:dyDescent="0.2">
      <c r="A894" s="255"/>
      <c r="B894" s="259"/>
      <c r="C894" s="260"/>
      <c r="D894" s="73"/>
      <c r="E894" s="209"/>
      <c r="F894" s="209"/>
      <c r="G894" s="209"/>
      <c r="H894" s="209"/>
      <c r="I894" s="209"/>
      <c r="J894" s="209"/>
      <c r="K894" s="209"/>
      <c r="L894" s="209"/>
      <c r="M894" s="209"/>
      <c r="N894" s="209"/>
      <c r="O894" s="209"/>
      <c r="P894" s="209"/>
    </row>
    <row r="895" spans="1:16" ht="11.25" customHeight="1" x14ac:dyDescent="0.2">
      <c r="A895" s="255"/>
      <c r="B895" s="259"/>
      <c r="C895" s="260"/>
      <c r="D895" s="73"/>
      <c r="E895" s="209"/>
      <c r="F895" s="209"/>
      <c r="G895" s="209"/>
      <c r="H895" s="209"/>
      <c r="I895" s="209"/>
      <c r="J895" s="209"/>
      <c r="K895" s="209"/>
      <c r="L895" s="209"/>
      <c r="M895" s="209"/>
      <c r="N895" s="209"/>
      <c r="O895" s="209"/>
      <c r="P895" s="209"/>
    </row>
    <row r="896" spans="1:16" ht="11.25" customHeight="1" x14ac:dyDescent="0.2">
      <c r="A896" s="255"/>
      <c r="B896" s="259"/>
      <c r="C896" s="260"/>
      <c r="D896" s="73"/>
      <c r="E896" s="209"/>
      <c r="F896" s="209"/>
      <c r="G896" s="209"/>
      <c r="H896" s="209"/>
      <c r="I896" s="209"/>
      <c r="J896" s="209"/>
      <c r="K896" s="209"/>
      <c r="L896" s="209"/>
      <c r="M896" s="209"/>
      <c r="N896" s="209"/>
      <c r="O896" s="209"/>
      <c r="P896" s="209"/>
    </row>
    <row r="897" spans="1:16" ht="11.25" customHeight="1" x14ac:dyDescent="0.2">
      <c r="A897" s="255"/>
      <c r="B897" s="259"/>
      <c r="C897" s="260"/>
      <c r="D897" s="73"/>
      <c r="E897" s="209"/>
      <c r="F897" s="209"/>
      <c r="G897" s="209"/>
      <c r="H897" s="209"/>
      <c r="I897" s="209"/>
      <c r="J897" s="209"/>
      <c r="K897" s="209"/>
      <c r="L897" s="209"/>
      <c r="M897" s="209"/>
      <c r="N897" s="209"/>
      <c r="O897" s="209"/>
      <c r="P897" s="209"/>
    </row>
    <row r="898" spans="1:16" ht="11.25" customHeight="1" x14ac:dyDescent="0.2">
      <c r="A898" s="255"/>
      <c r="B898" s="259"/>
      <c r="C898" s="260"/>
      <c r="D898" s="73"/>
      <c r="E898" s="209"/>
      <c r="F898" s="209"/>
      <c r="G898" s="209"/>
      <c r="H898" s="209"/>
      <c r="I898" s="209"/>
      <c r="J898" s="209"/>
      <c r="K898" s="209"/>
      <c r="L898" s="209"/>
      <c r="M898" s="209"/>
      <c r="N898" s="209"/>
      <c r="O898" s="209"/>
      <c r="P898" s="209"/>
    </row>
    <row r="899" spans="1:16" ht="11.25" customHeight="1" x14ac:dyDescent="0.2">
      <c r="A899" s="255"/>
      <c r="B899" s="259"/>
      <c r="C899" s="260"/>
      <c r="D899" s="73"/>
      <c r="E899" s="209"/>
      <c r="F899" s="209"/>
      <c r="G899" s="209"/>
      <c r="H899" s="209"/>
      <c r="I899" s="209"/>
      <c r="J899" s="209"/>
      <c r="K899" s="209"/>
      <c r="L899" s="209"/>
      <c r="M899" s="209"/>
      <c r="N899" s="209"/>
      <c r="O899" s="209"/>
      <c r="P899" s="209"/>
    </row>
    <row r="900" spans="1:16" ht="11.25" customHeight="1" x14ac:dyDescent="0.2">
      <c r="A900" s="255"/>
      <c r="B900" s="259"/>
      <c r="C900" s="260"/>
      <c r="D900" s="73"/>
      <c r="E900" s="209"/>
      <c r="F900" s="209"/>
      <c r="G900" s="209"/>
      <c r="H900" s="209"/>
      <c r="I900" s="209"/>
      <c r="J900" s="209"/>
      <c r="K900" s="209"/>
      <c r="L900" s="209"/>
      <c r="M900" s="209"/>
      <c r="N900" s="209"/>
      <c r="O900" s="209"/>
      <c r="P900" s="209"/>
    </row>
    <row r="901" spans="1:16" ht="11.25" customHeight="1" x14ac:dyDescent="0.2">
      <c r="A901" s="255"/>
      <c r="B901" s="259"/>
      <c r="C901" s="260"/>
      <c r="D901" s="73"/>
      <c r="E901" s="209"/>
      <c r="F901" s="209"/>
      <c r="G901" s="209"/>
      <c r="H901" s="209"/>
      <c r="I901" s="209"/>
      <c r="J901" s="209"/>
      <c r="K901" s="209"/>
      <c r="L901" s="209"/>
      <c r="M901" s="209"/>
      <c r="N901" s="209"/>
      <c r="O901" s="209"/>
      <c r="P901" s="209"/>
    </row>
    <row r="902" spans="1:16" ht="11.25" customHeight="1" x14ac:dyDescent="0.2">
      <c r="A902" s="255"/>
      <c r="B902" s="259"/>
      <c r="C902" s="260"/>
      <c r="D902" s="73"/>
      <c r="E902" s="209"/>
      <c r="F902" s="209"/>
      <c r="G902" s="209"/>
      <c r="H902" s="209"/>
      <c r="I902" s="209"/>
      <c r="J902" s="209"/>
      <c r="K902" s="209"/>
      <c r="L902" s="209"/>
      <c r="M902" s="209"/>
      <c r="N902" s="209"/>
      <c r="O902" s="209"/>
      <c r="P902" s="209"/>
    </row>
    <row r="903" spans="1:16" ht="11.25" customHeight="1" x14ac:dyDescent="0.2">
      <c r="A903" s="255"/>
      <c r="B903" s="259"/>
      <c r="C903" s="260"/>
      <c r="D903" s="73"/>
      <c r="E903" s="209"/>
      <c r="F903" s="209"/>
      <c r="G903" s="209"/>
      <c r="H903" s="209"/>
      <c r="I903" s="209"/>
      <c r="J903" s="209"/>
      <c r="K903" s="209"/>
      <c r="L903" s="209"/>
      <c r="M903" s="209"/>
      <c r="N903" s="209"/>
      <c r="O903" s="209"/>
      <c r="P903" s="209"/>
    </row>
    <row r="904" spans="1:16" ht="11.25" customHeight="1" x14ac:dyDescent="0.2">
      <c r="A904" s="255"/>
      <c r="B904" s="259"/>
      <c r="C904" s="260"/>
      <c r="D904" s="73"/>
      <c r="E904" s="209"/>
      <c r="F904" s="209"/>
      <c r="G904" s="209"/>
      <c r="H904" s="209"/>
      <c r="I904" s="209"/>
      <c r="J904" s="209"/>
      <c r="K904" s="209"/>
      <c r="L904" s="209"/>
      <c r="M904" s="209"/>
      <c r="N904" s="209"/>
      <c r="O904" s="209"/>
      <c r="P904" s="209"/>
    </row>
    <row r="905" spans="1:16" ht="11.25" customHeight="1" x14ac:dyDescent="0.2">
      <c r="A905" s="255"/>
      <c r="B905" s="259"/>
      <c r="C905" s="260"/>
      <c r="D905" s="73"/>
      <c r="E905" s="209"/>
      <c r="F905" s="209"/>
      <c r="G905" s="209"/>
      <c r="H905" s="209"/>
      <c r="I905" s="209"/>
      <c r="J905" s="209"/>
      <c r="K905" s="209"/>
      <c r="L905" s="209"/>
      <c r="M905" s="209"/>
      <c r="N905" s="209"/>
      <c r="O905" s="209"/>
      <c r="P905" s="209"/>
    </row>
    <row r="906" spans="1:16" ht="11.25" customHeight="1" x14ac:dyDescent="0.2">
      <c r="A906" s="255"/>
      <c r="B906" s="259"/>
      <c r="C906" s="260"/>
      <c r="D906" s="73"/>
      <c r="E906" s="209"/>
      <c r="F906" s="209"/>
      <c r="G906" s="209"/>
      <c r="H906" s="209"/>
      <c r="I906" s="209"/>
      <c r="J906" s="209"/>
      <c r="K906" s="209"/>
      <c r="L906" s="209"/>
      <c r="M906" s="209"/>
      <c r="N906" s="209"/>
      <c r="O906" s="209"/>
      <c r="P906" s="209"/>
    </row>
    <row r="907" spans="1:16" ht="11.25" customHeight="1" x14ac:dyDescent="0.2">
      <c r="A907" s="255"/>
      <c r="B907" s="259"/>
      <c r="C907" s="260"/>
      <c r="D907" s="73"/>
      <c r="E907" s="209"/>
      <c r="F907" s="209"/>
      <c r="G907" s="209"/>
      <c r="H907" s="209"/>
      <c r="I907" s="209"/>
      <c r="J907" s="209"/>
      <c r="K907" s="209"/>
      <c r="L907" s="209"/>
      <c r="M907" s="209"/>
      <c r="N907" s="209"/>
      <c r="O907" s="209"/>
      <c r="P907" s="209"/>
    </row>
    <row r="908" spans="1:16" ht="11.25" customHeight="1" x14ac:dyDescent="0.2">
      <c r="A908" s="255"/>
      <c r="B908" s="259"/>
      <c r="C908" s="260"/>
      <c r="D908" s="73"/>
      <c r="E908" s="209"/>
      <c r="F908" s="209"/>
      <c r="G908" s="209"/>
      <c r="H908" s="209"/>
      <c r="I908" s="209"/>
      <c r="J908" s="209"/>
      <c r="K908" s="209"/>
      <c r="L908" s="209"/>
      <c r="M908" s="209"/>
      <c r="N908" s="209"/>
      <c r="O908" s="209"/>
      <c r="P908" s="209"/>
    </row>
    <row r="909" spans="1:16" ht="11.25" customHeight="1" x14ac:dyDescent="0.2">
      <c r="A909" s="255"/>
      <c r="B909" s="259"/>
      <c r="C909" s="260"/>
      <c r="D909" s="73"/>
      <c r="E909" s="209"/>
      <c r="F909" s="209"/>
      <c r="G909" s="209"/>
      <c r="H909" s="209"/>
      <c r="I909" s="209"/>
      <c r="J909" s="209"/>
      <c r="K909" s="209"/>
      <c r="L909" s="209"/>
      <c r="M909" s="209"/>
      <c r="N909" s="209"/>
      <c r="O909" s="209"/>
      <c r="P909" s="209"/>
    </row>
    <row r="910" spans="1:16" ht="11.25" customHeight="1" x14ac:dyDescent="0.2">
      <c r="A910" s="255"/>
      <c r="B910" s="259"/>
      <c r="C910" s="260"/>
      <c r="D910" s="73"/>
      <c r="E910" s="209"/>
      <c r="F910" s="209"/>
      <c r="G910" s="209"/>
      <c r="H910" s="209"/>
      <c r="I910" s="209"/>
      <c r="J910" s="209"/>
      <c r="K910" s="209"/>
      <c r="L910" s="209"/>
      <c r="M910" s="209"/>
      <c r="N910" s="209"/>
      <c r="O910" s="209"/>
      <c r="P910" s="209"/>
    </row>
    <row r="911" spans="1:16" ht="11.25" customHeight="1" x14ac:dyDescent="0.2">
      <c r="A911" s="255"/>
      <c r="B911" s="259"/>
      <c r="C911" s="260"/>
      <c r="D911" s="73"/>
      <c r="E911" s="209"/>
      <c r="F911" s="209"/>
      <c r="G911" s="209"/>
      <c r="H911" s="209"/>
      <c r="I911" s="209"/>
      <c r="J911" s="209"/>
      <c r="K911" s="209"/>
      <c r="L911" s="209"/>
      <c r="M911" s="209"/>
      <c r="N911" s="209"/>
      <c r="O911" s="209"/>
      <c r="P911" s="209"/>
    </row>
    <row r="912" spans="1:16" ht="11.25" customHeight="1" x14ac:dyDescent="0.2">
      <c r="A912" s="255"/>
      <c r="B912" s="259"/>
      <c r="C912" s="260"/>
      <c r="D912" s="73"/>
      <c r="E912" s="209"/>
      <c r="F912" s="209"/>
      <c r="G912" s="209"/>
      <c r="H912" s="209"/>
      <c r="I912" s="209"/>
      <c r="J912" s="209"/>
      <c r="K912" s="209"/>
      <c r="L912" s="209"/>
      <c r="M912" s="209"/>
      <c r="N912" s="209"/>
      <c r="O912" s="209"/>
      <c r="P912" s="209"/>
    </row>
    <row r="913" spans="1:16" ht="11.25" customHeight="1" x14ac:dyDescent="0.2">
      <c r="A913" s="255"/>
      <c r="B913" s="259"/>
      <c r="C913" s="260"/>
      <c r="D913" s="73"/>
      <c r="E913" s="209"/>
      <c r="F913" s="209"/>
      <c r="G913" s="209"/>
      <c r="H913" s="209"/>
      <c r="I913" s="209"/>
      <c r="J913" s="209"/>
      <c r="K913" s="209"/>
      <c r="L913" s="209"/>
      <c r="M913" s="209"/>
      <c r="N913" s="209"/>
      <c r="O913" s="209"/>
      <c r="P913" s="209"/>
    </row>
    <row r="914" spans="1:16" ht="11.25" customHeight="1" x14ac:dyDescent="0.2">
      <c r="A914" s="255"/>
      <c r="B914" s="259"/>
      <c r="C914" s="260"/>
      <c r="D914" s="73"/>
      <c r="E914" s="209"/>
      <c r="F914" s="209"/>
      <c r="G914" s="209"/>
      <c r="H914" s="209"/>
      <c r="I914" s="209"/>
      <c r="J914" s="209"/>
      <c r="K914" s="209"/>
      <c r="L914" s="209"/>
      <c r="M914" s="209"/>
      <c r="N914" s="209"/>
      <c r="O914" s="209"/>
      <c r="P914" s="209"/>
    </row>
    <row r="915" spans="1:16" ht="11.25" customHeight="1" x14ac:dyDescent="0.2">
      <c r="A915" s="255"/>
      <c r="B915" s="259"/>
      <c r="C915" s="260"/>
      <c r="D915" s="73"/>
      <c r="E915" s="209"/>
      <c r="F915" s="209"/>
      <c r="G915" s="209"/>
      <c r="H915" s="209"/>
      <c r="I915" s="209"/>
      <c r="J915" s="209"/>
      <c r="K915" s="209"/>
      <c r="L915" s="209"/>
      <c r="M915" s="209"/>
      <c r="N915" s="209"/>
      <c r="O915" s="209"/>
      <c r="P915" s="209"/>
    </row>
    <row r="916" spans="1:16" ht="11.25" customHeight="1" x14ac:dyDescent="0.2">
      <c r="A916" s="255"/>
      <c r="B916" s="259"/>
      <c r="C916" s="260"/>
      <c r="D916" s="73"/>
      <c r="E916" s="209"/>
      <c r="F916" s="209"/>
      <c r="G916" s="209"/>
      <c r="H916" s="209"/>
      <c r="I916" s="209"/>
      <c r="J916" s="209"/>
      <c r="K916" s="209"/>
      <c r="L916" s="209"/>
      <c r="M916" s="209"/>
      <c r="N916" s="209"/>
      <c r="O916" s="209"/>
      <c r="P916" s="209"/>
    </row>
    <row r="917" spans="1:16" ht="11.25" customHeight="1" x14ac:dyDescent="0.2">
      <c r="A917" s="255"/>
      <c r="B917" s="259"/>
      <c r="C917" s="260"/>
      <c r="D917" s="73"/>
      <c r="E917" s="209"/>
      <c r="F917" s="209"/>
      <c r="G917" s="209"/>
      <c r="H917" s="209"/>
      <c r="I917" s="209"/>
      <c r="J917" s="209"/>
      <c r="K917" s="209"/>
      <c r="L917" s="209"/>
      <c r="M917" s="209"/>
      <c r="N917" s="209"/>
      <c r="O917" s="209"/>
      <c r="P917" s="209"/>
    </row>
    <row r="918" spans="1:16" ht="11.25" customHeight="1" x14ac:dyDescent="0.2">
      <c r="A918" s="255"/>
      <c r="B918" s="259"/>
      <c r="C918" s="260"/>
      <c r="D918" s="73"/>
      <c r="E918" s="209"/>
      <c r="F918" s="209"/>
      <c r="G918" s="209"/>
      <c r="H918" s="209"/>
      <c r="I918" s="209"/>
      <c r="J918" s="209"/>
      <c r="K918" s="209"/>
      <c r="L918" s="209"/>
      <c r="M918" s="209"/>
      <c r="N918" s="209"/>
      <c r="O918" s="209"/>
      <c r="P918" s="209"/>
    </row>
    <row r="919" spans="1:16" ht="11.25" customHeight="1" x14ac:dyDescent="0.2">
      <c r="A919" s="255"/>
      <c r="B919" s="259"/>
      <c r="C919" s="260"/>
      <c r="D919" s="73"/>
      <c r="E919" s="209"/>
      <c r="F919" s="209"/>
      <c r="G919" s="209"/>
      <c r="H919" s="209"/>
      <c r="I919" s="209"/>
      <c r="J919" s="209"/>
      <c r="K919" s="209"/>
      <c r="L919" s="209"/>
      <c r="M919" s="209"/>
      <c r="N919" s="209"/>
      <c r="O919" s="209"/>
      <c r="P919" s="209"/>
    </row>
    <row r="920" spans="1:16" ht="11.25" customHeight="1" x14ac:dyDescent="0.2">
      <c r="A920" s="255"/>
      <c r="B920" s="259"/>
      <c r="C920" s="260"/>
      <c r="D920" s="73"/>
      <c r="E920" s="209"/>
      <c r="F920" s="209"/>
      <c r="G920" s="209"/>
      <c r="H920" s="209"/>
      <c r="I920" s="209"/>
      <c r="J920" s="209"/>
      <c r="K920" s="209"/>
      <c r="L920" s="209"/>
      <c r="M920" s="209"/>
      <c r="N920" s="209"/>
      <c r="O920" s="209"/>
      <c r="P920" s="209"/>
    </row>
    <row r="921" spans="1:16" ht="11.25" customHeight="1" x14ac:dyDescent="0.2">
      <c r="A921" s="255"/>
      <c r="B921" s="259"/>
      <c r="C921" s="260"/>
      <c r="D921" s="73"/>
      <c r="E921" s="209"/>
      <c r="F921" s="209"/>
      <c r="G921" s="209"/>
      <c r="H921" s="209"/>
      <c r="I921" s="209"/>
      <c r="J921" s="209"/>
      <c r="K921" s="209"/>
      <c r="L921" s="209"/>
      <c r="M921" s="209"/>
      <c r="N921" s="209"/>
      <c r="O921" s="209"/>
      <c r="P921" s="209"/>
    </row>
    <row r="922" spans="1:16" ht="11.25" customHeight="1" x14ac:dyDescent="0.2">
      <c r="A922" s="255"/>
      <c r="B922" s="259"/>
      <c r="C922" s="260"/>
      <c r="D922" s="73"/>
      <c r="E922" s="209"/>
      <c r="F922" s="209"/>
      <c r="G922" s="209"/>
      <c r="H922" s="209"/>
      <c r="I922" s="209"/>
      <c r="J922" s="209"/>
      <c r="K922" s="209"/>
      <c r="L922" s="209"/>
      <c r="M922" s="209"/>
      <c r="N922" s="209"/>
      <c r="O922" s="209"/>
      <c r="P922" s="209"/>
    </row>
    <row r="923" spans="1:16" ht="11.25" customHeight="1" x14ac:dyDescent="0.2">
      <c r="A923" s="255"/>
      <c r="B923" s="259"/>
      <c r="C923" s="260"/>
      <c r="D923" s="73"/>
      <c r="E923" s="209"/>
      <c r="F923" s="209"/>
      <c r="G923" s="209"/>
      <c r="H923" s="209"/>
      <c r="I923" s="209"/>
      <c r="J923" s="209"/>
      <c r="K923" s="209"/>
      <c r="L923" s="209"/>
      <c r="M923" s="209"/>
      <c r="N923" s="209"/>
      <c r="O923" s="209"/>
      <c r="P923" s="209"/>
    </row>
    <row r="924" spans="1:16" ht="11.25" customHeight="1" x14ac:dyDescent="0.2">
      <c r="A924" s="255"/>
      <c r="B924" s="259"/>
      <c r="C924" s="260"/>
      <c r="D924" s="73"/>
      <c r="E924" s="209"/>
      <c r="F924" s="209"/>
      <c r="G924" s="209"/>
      <c r="H924" s="209"/>
      <c r="I924" s="209"/>
      <c r="J924" s="209"/>
      <c r="K924" s="209"/>
      <c r="L924" s="209"/>
      <c r="M924" s="209"/>
      <c r="N924" s="209"/>
      <c r="O924" s="209"/>
      <c r="P924" s="209"/>
    </row>
    <row r="925" spans="1:16" ht="11.25" customHeight="1" x14ac:dyDescent="0.2">
      <c r="A925" s="255"/>
      <c r="B925" s="259"/>
      <c r="C925" s="260"/>
      <c r="D925" s="73"/>
      <c r="E925" s="209"/>
      <c r="F925" s="209"/>
      <c r="G925" s="209"/>
      <c r="H925" s="209"/>
      <c r="I925" s="209"/>
      <c r="J925" s="209"/>
      <c r="K925" s="209"/>
      <c r="L925" s="209"/>
      <c r="M925" s="209"/>
      <c r="N925" s="209"/>
      <c r="O925" s="209"/>
      <c r="P925" s="209"/>
    </row>
    <row r="926" spans="1:16" ht="11.25" customHeight="1" x14ac:dyDescent="0.2">
      <c r="A926" s="255"/>
      <c r="B926" s="259"/>
      <c r="C926" s="260"/>
      <c r="D926" s="73"/>
      <c r="E926" s="209"/>
      <c r="F926" s="209"/>
      <c r="G926" s="209"/>
      <c r="H926" s="209"/>
      <c r="I926" s="209"/>
      <c r="J926" s="209"/>
      <c r="K926" s="209"/>
      <c r="L926" s="209"/>
      <c r="M926" s="209"/>
      <c r="N926" s="209"/>
      <c r="O926" s="209"/>
      <c r="P926" s="209"/>
    </row>
    <row r="927" spans="1:16" ht="11.25" customHeight="1" x14ac:dyDescent="0.2">
      <c r="A927" s="255"/>
      <c r="B927" s="259"/>
      <c r="C927" s="260"/>
      <c r="D927" s="73"/>
      <c r="E927" s="209"/>
      <c r="F927" s="209"/>
      <c r="G927" s="209"/>
      <c r="H927" s="209"/>
      <c r="I927" s="209"/>
      <c r="J927" s="209"/>
      <c r="K927" s="209"/>
      <c r="L927" s="209"/>
      <c r="M927" s="209"/>
      <c r="N927" s="209"/>
      <c r="O927" s="209"/>
      <c r="P927" s="209"/>
    </row>
    <row r="928" spans="1:16" ht="11.25" customHeight="1" x14ac:dyDescent="0.2">
      <c r="A928" s="255"/>
      <c r="B928" s="259"/>
      <c r="C928" s="260"/>
      <c r="D928" s="73"/>
      <c r="E928" s="209"/>
      <c r="F928" s="209"/>
      <c r="G928" s="209"/>
      <c r="H928" s="209"/>
      <c r="I928" s="209"/>
      <c r="J928" s="209"/>
      <c r="K928" s="209"/>
      <c r="L928" s="209"/>
      <c r="M928" s="209"/>
      <c r="N928" s="209"/>
      <c r="O928" s="209"/>
      <c r="P928" s="209"/>
    </row>
    <row r="929" spans="1:16" ht="11.25" customHeight="1" x14ac:dyDescent="0.2">
      <c r="A929" s="255"/>
      <c r="B929" s="259"/>
      <c r="C929" s="260"/>
      <c r="D929" s="73"/>
      <c r="E929" s="209"/>
      <c r="F929" s="209"/>
      <c r="G929" s="209"/>
      <c r="H929" s="209"/>
      <c r="I929" s="209"/>
      <c r="J929" s="209"/>
      <c r="K929" s="209"/>
      <c r="L929" s="209"/>
      <c r="M929" s="209"/>
      <c r="N929" s="209"/>
      <c r="O929" s="209"/>
      <c r="P929" s="209"/>
    </row>
    <row r="930" spans="1:16" ht="11.25" customHeight="1" x14ac:dyDescent="0.2">
      <c r="A930" s="255"/>
      <c r="B930" s="259"/>
      <c r="C930" s="260"/>
      <c r="D930" s="73"/>
      <c r="E930" s="209"/>
      <c r="F930" s="209"/>
      <c r="G930" s="209"/>
      <c r="H930" s="209"/>
      <c r="I930" s="209"/>
      <c r="J930" s="209"/>
      <c r="K930" s="209"/>
      <c r="L930" s="209"/>
      <c r="M930" s="209"/>
      <c r="N930" s="209"/>
      <c r="O930" s="209"/>
      <c r="P930" s="209"/>
    </row>
    <row r="931" spans="1:16" ht="11.25" customHeight="1" x14ac:dyDescent="0.2">
      <c r="A931" s="255"/>
      <c r="B931" s="259"/>
      <c r="C931" s="260"/>
      <c r="D931" s="73"/>
      <c r="E931" s="209"/>
      <c r="F931" s="209"/>
      <c r="G931" s="209"/>
      <c r="H931" s="209"/>
      <c r="I931" s="209"/>
      <c r="J931" s="209"/>
      <c r="K931" s="209"/>
      <c r="L931" s="209"/>
      <c r="M931" s="209"/>
      <c r="N931" s="209"/>
      <c r="O931" s="209"/>
      <c r="P931" s="209"/>
    </row>
    <row r="932" spans="1:16" ht="11.25" customHeight="1" x14ac:dyDescent="0.2">
      <c r="A932" s="255"/>
      <c r="B932" s="259"/>
      <c r="C932" s="260"/>
      <c r="D932" s="73"/>
      <c r="E932" s="209"/>
      <c r="F932" s="209"/>
      <c r="G932" s="209"/>
      <c r="H932" s="209"/>
      <c r="I932" s="209"/>
      <c r="J932" s="209"/>
      <c r="K932" s="209"/>
      <c r="L932" s="209"/>
      <c r="M932" s="209"/>
      <c r="N932" s="209"/>
      <c r="O932" s="209"/>
      <c r="P932" s="209"/>
    </row>
    <row r="933" spans="1:16" ht="11.25" customHeight="1" x14ac:dyDescent="0.2">
      <c r="A933" s="255"/>
      <c r="B933" s="259"/>
      <c r="C933" s="260"/>
      <c r="D933" s="73"/>
      <c r="E933" s="209"/>
      <c r="F933" s="209"/>
      <c r="G933" s="209"/>
      <c r="H933" s="209"/>
      <c r="I933" s="209"/>
      <c r="J933" s="209"/>
      <c r="K933" s="209"/>
      <c r="L933" s="209"/>
      <c r="M933" s="209"/>
      <c r="N933" s="209"/>
      <c r="O933" s="209"/>
      <c r="P933" s="209"/>
    </row>
    <row r="934" spans="1:16" ht="11.25" customHeight="1" x14ac:dyDescent="0.2">
      <c r="A934" s="255"/>
      <c r="B934" s="259"/>
      <c r="C934" s="260"/>
      <c r="D934" s="73"/>
      <c r="E934" s="209"/>
      <c r="F934" s="209"/>
      <c r="G934" s="209"/>
      <c r="H934" s="209"/>
      <c r="I934" s="209"/>
      <c r="J934" s="209"/>
      <c r="K934" s="209"/>
      <c r="L934" s="209"/>
      <c r="M934" s="209"/>
      <c r="N934" s="209"/>
      <c r="O934" s="209"/>
      <c r="P934" s="209"/>
    </row>
    <row r="935" spans="1:16" ht="11.25" customHeight="1" x14ac:dyDescent="0.2">
      <c r="A935" s="255"/>
      <c r="B935" s="259"/>
      <c r="C935" s="260"/>
      <c r="D935" s="73"/>
      <c r="E935" s="209"/>
      <c r="F935" s="209"/>
      <c r="G935" s="209"/>
      <c r="H935" s="209"/>
      <c r="I935" s="209"/>
      <c r="J935" s="209"/>
      <c r="K935" s="209"/>
      <c r="L935" s="209"/>
      <c r="M935" s="209"/>
      <c r="N935" s="209"/>
      <c r="O935" s="209"/>
      <c r="P935" s="209"/>
    </row>
    <row r="936" spans="1:16" ht="11.25" customHeight="1" x14ac:dyDescent="0.2">
      <c r="A936" s="255"/>
      <c r="B936" s="259"/>
      <c r="C936" s="260"/>
      <c r="D936" s="73"/>
      <c r="E936" s="209"/>
      <c r="F936" s="209"/>
      <c r="G936" s="209"/>
      <c r="H936" s="209"/>
      <c r="I936" s="209"/>
      <c r="J936" s="209"/>
      <c r="K936" s="209"/>
      <c r="L936" s="209"/>
      <c r="M936" s="209"/>
      <c r="N936" s="209"/>
      <c r="O936" s="209"/>
      <c r="P936" s="209"/>
    </row>
    <row r="937" spans="1:16" ht="11.25" customHeight="1" x14ac:dyDescent="0.2">
      <c r="A937" s="255"/>
      <c r="B937" s="259"/>
      <c r="C937" s="260"/>
      <c r="D937" s="73"/>
      <c r="E937" s="209"/>
      <c r="F937" s="209"/>
      <c r="G937" s="209"/>
      <c r="H937" s="209"/>
      <c r="I937" s="209"/>
      <c r="J937" s="209"/>
      <c r="K937" s="209"/>
      <c r="L937" s="209"/>
      <c r="M937" s="209"/>
      <c r="N937" s="209"/>
      <c r="O937" s="209"/>
      <c r="P937" s="209"/>
    </row>
    <row r="938" spans="1:16" ht="11.25" customHeight="1" x14ac:dyDescent="0.2">
      <c r="A938" s="255"/>
      <c r="B938" s="259"/>
      <c r="C938" s="260"/>
      <c r="D938" s="73"/>
      <c r="E938" s="209"/>
      <c r="F938" s="209"/>
      <c r="G938" s="209"/>
      <c r="H938" s="209"/>
      <c r="I938" s="209"/>
      <c r="J938" s="209"/>
      <c r="K938" s="209"/>
      <c r="L938" s="209"/>
      <c r="M938" s="209"/>
      <c r="N938" s="209"/>
      <c r="O938" s="209"/>
      <c r="P938" s="209"/>
    </row>
    <row r="939" spans="1:16" ht="11.25" customHeight="1" x14ac:dyDescent="0.2">
      <c r="A939" s="255"/>
      <c r="B939" s="259"/>
      <c r="C939" s="260"/>
      <c r="D939" s="73"/>
      <c r="E939" s="209"/>
      <c r="F939" s="209"/>
      <c r="G939" s="209"/>
      <c r="H939" s="209"/>
      <c r="I939" s="209"/>
      <c r="J939" s="209"/>
      <c r="K939" s="209"/>
      <c r="L939" s="209"/>
      <c r="M939" s="209"/>
      <c r="N939" s="209"/>
      <c r="O939" s="209"/>
      <c r="P939" s="209"/>
    </row>
    <row r="940" spans="1:16" ht="11.25" customHeight="1" x14ac:dyDescent="0.2">
      <c r="A940" s="255"/>
      <c r="B940" s="259"/>
      <c r="C940" s="260"/>
      <c r="D940" s="73"/>
      <c r="E940" s="209"/>
      <c r="F940" s="209"/>
      <c r="G940" s="209"/>
      <c r="H940" s="209"/>
      <c r="I940" s="209"/>
      <c r="J940" s="209"/>
      <c r="K940" s="209"/>
      <c r="L940" s="209"/>
      <c r="M940" s="209"/>
      <c r="N940" s="209"/>
      <c r="O940" s="209"/>
      <c r="P940" s="209"/>
    </row>
    <row r="941" spans="1:16" ht="11.25" customHeight="1" x14ac:dyDescent="0.2">
      <c r="A941" s="255"/>
      <c r="B941" s="259"/>
      <c r="C941" s="260"/>
      <c r="D941" s="73"/>
      <c r="E941" s="209"/>
      <c r="F941" s="209"/>
      <c r="G941" s="209"/>
      <c r="H941" s="209"/>
      <c r="I941" s="209"/>
      <c r="J941" s="209"/>
      <c r="K941" s="209"/>
      <c r="L941" s="209"/>
      <c r="M941" s="209"/>
      <c r="N941" s="209"/>
      <c r="O941" s="209"/>
      <c r="P941" s="209"/>
    </row>
    <row r="942" spans="1:16" ht="11.25" customHeight="1" x14ac:dyDescent="0.2">
      <c r="A942" s="255"/>
      <c r="B942" s="259"/>
      <c r="C942" s="260"/>
      <c r="D942" s="73"/>
      <c r="E942" s="209"/>
      <c r="F942" s="209"/>
      <c r="G942" s="209"/>
      <c r="H942" s="209"/>
      <c r="I942" s="209"/>
      <c r="J942" s="209"/>
      <c r="K942" s="209"/>
      <c r="L942" s="209"/>
      <c r="M942" s="209"/>
      <c r="N942" s="209"/>
      <c r="O942" s="209"/>
      <c r="P942" s="209"/>
    </row>
    <row r="943" spans="1:16" ht="11.25" customHeight="1" x14ac:dyDescent="0.2">
      <c r="A943" s="255"/>
      <c r="B943" s="259"/>
      <c r="C943" s="260"/>
      <c r="D943" s="73"/>
      <c r="E943" s="209"/>
      <c r="F943" s="209"/>
      <c r="G943" s="209"/>
      <c r="H943" s="209"/>
      <c r="I943" s="209"/>
      <c r="J943" s="209"/>
      <c r="K943" s="209"/>
      <c r="L943" s="209"/>
      <c r="M943" s="209"/>
      <c r="N943" s="209"/>
      <c r="O943" s="209"/>
      <c r="P943" s="209"/>
    </row>
    <row r="944" spans="1:16" ht="11.25" customHeight="1" x14ac:dyDescent="0.2">
      <c r="A944" s="255"/>
      <c r="B944" s="259"/>
      <c r="C944" s="260"/>
      <c r="D944" s="73"/>
      <c r="E944" s="209"/>
      <c r="F944" s="209"/>
      <c r="G944" s="209"/>
      <c r="H944" s="209"/>
      <c r="I944" s="209"/>
      <c r="J944" s="209"/>
      <c r="K944" s="209"/>
      <c r="L944" s="209"/>
      <c r="M944" s="209"/>
      <c r="N944" s="209"/>
      <c r="O944" s="209"/>
      <c r="P944" s="209"/>
    </row>
    <row r="945" spans="1:16" ht="11.25" customHeight="1" x14ac:dyDescent="0.2">
      <c r="A945" s="255"/>
      <c r="B945" s="259"/>
      <c r="C945" s="260"/>
      <c r="D945" s="73"/>
      <c r="E945" s="209"/>
      <c r="F945" s="209"/>
      <c r="G945" s="209"/>
      <c r="H945" s="209"/>
      <c r="I945" s="209"/>
      <c r="J945" s="209"/>
      <c r="K945" s="209"/>
      <c r="L945" s="209"/>
      <c r="M945" s="209"/>
      <c r="N945" s="209"/>
      <c r="O945" s="209"/>
      <c r="P945" s="209"/>
    </row>
    <row r="946" spans="1:16" ht="11.25" customHeight="1" x14ac:dyDescent="0.2">
      <c r="A946" s="255"/>
      <c r="B946" s="259"/>
      <c r="C946" s="260"/>
      <c r="D946" s="73"/>
      <c r="E946" s="209"/>
      <c r="F946" s="209"/>
      <c r="G946" s="209"/>
      <c r="H946" s="209"/>
      <c r="I946" s="209"/>
      <c r="J946" s="209"/>
      <c r="K946" s="209"/>
      <c r="L946" s="209"/>
      <c r="M946" s="209"/>
      <c r="N946" s="209"/>
      <c r="O946" s="209"/>
      <c r="P946" s="209"/>
    </row>
    <row r="947" spans="1:16" ht="11.25" customHeight="1" x14ac:dyDescent="0.2">
      <c r="A947" s="255"/>
      <c r="B947" s="259"/>
      <c r="C947" s="260"/>
      <c r="D947" s="73"/>
      <c r="E947" s="209"/>
      <c r="F947" s="209"/>
      <c r="G947" s="209"/>
      <c r="H947" s="209"/>
      <c r="I947" s="209"/>
      <c r="J947" s="209"/>
      <c r="K947" s="209"/>
      <c r="L947" s="209"/>
      <c r="M947" s="209"/>
      <c r="N947" s="209"/>
      <c r="O947" s="209"/>
      <c r="P947" s="209"/>
    </row>
    <row r="948" spans="1:16" ht="11.25" customHeight="1" x14ac:dyDescent="0.2">
      <c r="A948" s="255"/>
      <c r="B948" s="259"/>
      <c r="C948" s="260"/>
      <c r="D948" s="73"/>
      <c r="E948" s="209"/>
      <c r="F948" s="209"/>
      <c r="G948" s="209"/>
      <c r="H948" s="209"/>
      <c r="I948" s="209"/>
      <c r="J948" s="209"/>
      <c r="K948" s="209"/>
      <c r="L948" s="209"/>
      <c r="M948" s="209"/>
      <c r="N948" s="209"/>
      <c r="O948" s="209"/>
      <c r="P948" s="209"/>
    </row>
    <row r="949" spans="1:16" ht="11.25" customHeight="1" x14ac:dyDescent="0.2">
      <c r="A949" s="255"/>
      <c r="B949" s="259"/>
      <c r="C949" s="260"/>
      <c r="D949" s="73"/>
      <c r="E949" s="209"/>
      <c r="F949" s="209"/>
      <c r="G949" s="209"/>
      <c r="H949" s="209"/>
      <c r="I949" s="209"/>
      <c r="J949" s="209"/>
      <c r="K949" s="209"/>
      <c r="L949" s="209"/>
      <c r="M949" s="209"/>
      <c r="N949" s="209"/>
      <c r="O949" s="209"/>
      <c r="P949" s="209"/>
    </row>
    <row r="950" spans="1:16" ht="11.25" customHeight="1" x14ac:dyDescent="0.2">
      <c r="A950" s="255"/>
      <c r="B950" s="259"/>
      <c r="C950" s="260"/>
      <c r="D950" s="73"/>
      <c r="E950" s="209"/>
      <c r="F950" s="209"/>
      <c r="G950" s="209"/>
      <c r="H950" s="209"/>
      <c r="I950" s="209"/>
      <c r="J950" s="209"/>
      <c r="K950" s="209"/>
      <c r="L950" s="209"/>
      <c r="M950" s="209"/>
      <c r="N950" s="209"/>
      <c r="O950" s="209"/>
      <c r="P950" s="209"/>
    </row>
    <row r="951" spans="1:16" ht="11.25" customHeight="1" x14ac:dyDescent="0.2">
      <c r="A951" s="255"/>
      <c r="B951" s="259"/>
      <c r="C951" s="260"/>
      <c r="D951" s="73"/>
      <c r="E951" s="209"/>
      <c r="F951" s="209"/>
      <c r="G951" s="209"/>
      <c r="H951" s="209"/>
      <c r="I951" s="209"/>
      <c r="J951" s="209"/>
      <c r="K951" s="209"/>
      <c r="L951" s="209"/>
      <c r="M951" s="209"/>
      <c r="N951" s="209"/>
      <c r="O951" s="209"/>
      <c r="P951" s="209"/>
    </row>
    <row r="952" spans="1:16" ht="11.25" customHeight="1" x14ac:dyDescent="0.2">
      <c r="A952" s="255"/>
      <c r="B952" s="259"/>
      <c r="C952" s="260"/>
      <c r="D952" s="73"/>
      <c r="E952" s="209"/>
      <c r="F952" s="209"/>
      <c r="G952" s="209"/>
      <c r="H952" s="209"/>
      <c r="I952" s="209"/>
      <c r="J952" s="209"/>
      <c r="K952" s="209"/>
      <c r="L952" s="209"/>
      <c r="M952" s="209"/>
      <c r="N952" s="209"/>
      <c r="O952" s="209"/>
      <c r="P952" s="209"/>
    </row>
    <row r="953" spans="1:16" ht="11.25" customHeight="1" x14ac:dyDescent="0.2">
      <c r="A953" s="255"/>
      <c r="B953" s="259"/>
      <c r="C953" s="260"/>
      <c r="D953" s="73"/>
      <c r="E953" s="209"/>
      <c r="F953" s="209"/>
      <c r="G953" s="209"/>
      <c r="H953" s="209"/>
      <c r="I953" s="209"/>
      <c r="J953" s="209"/>
      <c r="K953" s="209"/>
      <c r="L953" s="209"/>
      <c r="M953" s="209"/>
      <c r="N953" s="209"/>
      <c r="O953" s="209"/>
      <c r="P953" s="209"/>
    </row>
    <row r="954" spans="1:16" ht="11.25" customHeight="1" x14ac:dyDescent="0.2">
      <c r="A954" s="255"/>
      <c r="B954" s="259"/>
      <c r="C954" s="260"/>
      <c r="D954" s="73"/>
      <c r="E954" s="209"/>
      <c r="F954" s="209"/>
      <c r="G954" s="209"/>
      <c r="H954" s="209"/>
      <c r="I954" s="209"/>
      <c r="J954" s="209"/>
      <c r="K954" s="209"/>
      <c r="L954" s="209"/>
      <c r="M954" s="209"/>
      <c r="N954" s="209"/>
      <c r="O954" s="209"/>
      <c r="P954" s="209"/>
    </row>
    <row r="955" spans="1:16" ht="11.25" customHeight="1" x14ac:dyDescent="0.2">
      <c r="A955" s="255"/>
      <c r="B955" s="259"/>
      <c r="C955" s="260"/>
      <c r="D955" s="73"/>
      <c r="E955" s="209"/>
      <c r="F955" s="209"/>
      <c r="G955" s="209"/>
      <c r="H955" s="209"/>
      <c r="I955" s="209"/>
      <c r="J955" s="209"/>
      <c r="K955" s="209"/>
      <c r="L955" s="209"/>
      <c r="M955" s="209"/>
      <c r="N955" s="209"/>
      <c r="O955" s="209"/>
      <c r="P955" s="209"/>
    </row>
    <row r="956" spans="1:16" ht="11.25" customHeight="1" x14ac:dyDescent="0.2">
      <c r="A956" s="255"/>
      <c r="B956" s="259"/>
      <c r="C956" s="260"/>
      <c r="D956" s="73"/>
      <c r="E956" s="209"/>
      <c r="F956" s="209"/>
      <c r="G956" s="209"/>
      <c r="H956" s="209"/>
      <c r="I956" s="209"/>
      <c r="J956" s="209"/>
      <c r="K956" s="209"/>
      <c r="L956" s="209"/>
      <c r="M956" s="209"/>
      <c r="N956" s="209"/>
      <c r="O956" s="209"/>
      <c r="P956" s="209"/>
    </row>
    <row r="957" spans="1:16" ht="11.25" customHeight="1" x14ac:dyDescent="0.2">
      <c r="A957" s="255"/>
      <c r="B957" s="259"/>
      <c r="C957" s="260"/>
      <c r="D957" s="73"/>
      <c r="E957" s="209"/>
      <c r="F957" s="209"/>
      <c r="G957" s="209"/>
      <c r="H957" s="209"/>
      <c r="I957" s="209"/>
      <c r="J957" s="209"/>
      <c r="K957" s="209"/>
      <c r="L957" s="209"/>
      <c r="M957" s="209"/>
      <c r="N957" s="209"/>
      <c r="O957" s="209"/>
      <c r="P957" s="209"/>
    </row>
    <row r="958" spans="1:16" ht="11.25" customHeight="1" x14ac:dyDescent="0.2">
      <c r="A958" s="255"/>
      <c r="B958" s="259"/>
      <c r="C958" s="260"/>
      <c r="D958" s="73"/>
      <c r="E958" s="209"/>
      <c r="F958" s="209"/>
      <c r="G958" s="209"/>
      <c r="H958" s="209"/>
      <c r="I958" s="209"/>
      <c r="J958" s="209"/>
      <c r="K958" s="209"/>
      <c r="L958" s="209"/>
      <c r="M958" s="209"/>
      <c r="N958" s="209"/>
      <c r="O958" s="209"/>
      <c r="P958" s="209"/>
    </row>
    <row r="959" spans="1:16" ht="11.25" customHeight="1" x14ac:dyDescent="0.2">
      <c r="A959" s="255"/>
      <c r="B959" s="259"/>
      <c r="C959" s="260"/>
      <c r="D959" s="73"/>
      <c r="E959" s="209"/>
      <c r="F959" s="209"/>
      <c r="G959" s="209"/>
      <c r="H959" s="209"/>
      <c r="I959" s="209"/>
      <c r="J959" s="209"/>
      <c r="K959" s="209"/>
      <c r="L959" s="209"/>
      <c r="M959" s="209"/>
      <c r="N959" s="209"/>
      <c r="O959" s="209"/>
      <c r="P959" s="209"/>
    </row>
    <row r="960" spans="1:16" ht="11.25" customHeight="1" x14ac:dyDescent="0.2">
      <c r="A960" s="255"/>
      <c r="B960" s="259"/>
      <c r="C960" s="260"/>
      <c r="D960" s="73"/>
      <c r="E960" s="209"/>
      <c r="F960" s="209"/>
      <c r="G960" s="209"/>
      <c r="H960" s="209"/>
      <c r="I960" s="209"/>
      <c r="J960" s="209"/>
      <c r="K960" s="209"/>
      <c r="L960" s="209"/>
      <c r="M960" s="209"/>
      <c r="N960" s="209"/>
      <c r="O960" s="209"/>
      <c r="P960" s="209"/>
    </row>
    <row r="961" spans="1:16" ht="11.25" customHeight="1" x14ac:dyDescent="0.2">
      <c r="A961" s="255"/>
      <c r="B961" s="259"/>
      <c r="C961" s="260"/>
      <c r="D961" s="73"/>
      <c r="E961" s="209"/>
      <c r="F961" s="209"/>
      <c r="G961" s="209"/>
      <c r="H961" s="209"/>
      <c r="I961" s="209"/>
      <c r="J961" s="209"/>
      <c r="K961" s="209"/>
      <c r="L961" s="209"/>
      <c r="M961" s="209"/>
      <c r="N961" s="209"/>
      <c r="O961" s="209"/>
      <c r="P961" s="209"/>
    </row>
    <row r="962" spans="1:16" ht="11.25" customHeight="1" x14ac:dyDescent="0.2">
      <c r="A962" s="255"/>
      <c r="B962" s="259"/>
      <c r="C962" s="260"/>
      <c r="D962" s="73"/>
      <c r="E962" s="209"/>
      <c r="F962" s="209"/>
      <c r="G962" s="209"/>
      <c r="H962" s="209"/>
      <c r="I962" s="209"/>
      <c r="J962" s="209"/>
      <c r="K962" s="209"/>
      <c r="L962" s="209"/>
      <c r="M962" s="209"/>
      <c r="N962" s="209"/>
      <c r="O962" s="209"/>
      <c r="P962" s="209"/>
    </row>
    <row r="963" spans="1:16" ht="11.25" customHeight="1" x14ac:dyDescent="0.2">
      <c r="A963" s="255"/>
      <c r="B963" s="259"/>
      <c r="C963" s="260"/>
      <c r="D963" s="73"/>
      <c r="E963" s="209"/>
      <c r="F963" s="209"/>
      <c r="G963" s="209"/>
      <c r="H963" s="209"/>
      <c r="I963" s="209"/>
      <c r="J963" s="209"/>
      <c r="K963" s="209"/>
      <c r="L963" s="209"/>
      <c r="M963" s="209"/>
      <c r="N963" s="209"/>
      <c r="O963" s="209"/>
      <c r="P963" s="209"/>
    </row>
    <row r="964" spans="1:16" ht="11.25" customHeight="1" x14ac:dyDescent="0.2">
      <c r="A964" s="255"/>
      <c r="B964" s="259"/>
      <c r="C964" s="260"/>
      <c r="D964" s="73"/>
      <c r="E964" s="209"/>
      <c r="F964" s="209"/>
      <c r="G964" s="209"/>
      <c r="H964" s="209"/>
      <c r="I964" s="209"/>
      <c r="J964" s="209"/>
      <c r="K964" s="209"/>
      <c r="L964" s="209"/>
      <c r="M964" s="209"/>
      <c r="N964" s="209"/>
      <c r="O964" s="209"/>
      <c r="P964" s="209"/>
    </row>
    <row r="965" spans="1:16" ht="11.25" customHeight="1" x14ac:dyDescent="0.2">
      <c r="A965" s="255"/>
      <c r="B965" s="259"/>
      <c r="C965" s="260"/>
      <c r="D965" s="73"/>
      <c r="E965" s="209"/>
      <c r="F965" s="209"/>
      <c r="G965" s="209"/>
      <c r="H965" s="209"/>
      <c r="I965" s="209"/>
      <c r="J965" s="209"/>
      <c r="K965" s="209"/>
      <c r="L965" s="209"/>
      <c r="M965" s="209"/>
      <c r="N965" s="209"/>
      <c r="O965" s="209"/>
      <c r="P965" s="209"/>
    </row>
    <row r="966" spans="1:16" ht="11.25" customHeight="1" x14ac:dyDescent="0.2">
      <c r="A966" s="255"/>
      <c r="B966" s="259"/>
      <c r="C966" s="260"/>
      <c r="D966" s="73"/>
      <c r="E966" s="209"/>
      <c r="F966" s="209"/>
      <c r="G966" s="209"/>
      <c r="H966" s="209"/>
      <c r="I966" s="209"/>
      <c r="J966" s="209"/>
      <c r="K966" s="209"/>
      <c r="L966" s="209"/>
      <c r="M966" s="209"/>
      <c r="N966" s="209"/>
      <c r="O966" s="209"/>
      <c r="P966" s="209"/>
    </row>
    <row r="967" spans="1:16" ht="11.25" customHeight="1" x14ac:dyDescent="0.2">
      <c r="A967" s="255"/>
      <c r="B967" s="259"/>
      <c r="C967" s="260"/>
      <c r="D967" s="73"/>
      <c r="E967" s="209"/>
      <c r="F967" s="209"/>
      <c r="G967" s="209"/>
      <c r="H967" s="209"/>
      <c r="I967" s="209"/>
      <c r="J967" s="209"/>
      <c r="K967" s="209"/>
      <c r="L967" s="209"/>
      <c r="M967" s="209"/>
      <c r="N967" s="209"/>
      <c r="O967" s="209"/>
      <c r="P967" s="209"/>
    </row>
    <row r="968" spans="1:16" ht="11.25" customHeight="1" x14ac:dyDescent="0.2">
      <c r="A968" s="255"/>
      <c r="B968" s="259"/>
      <c r="C968" s="260"/>
      <c r="D968" s="73"/>
      <c r="E968" s="209"/>
      <c r="F968" s="209"/>
      <c r="G968" s="209"/>
      <c r="H968" s="209"/>
      <c r="I968" s="209"/>
      <c r="J968" s="209"/>
      <c r="K968" s="209"/>
      <c r="L968" s="209"/>
      <c r="M968" s="209"/>
      <c r="N968" s="209"/>
      <c r="O968" s="209"/>
      <c r="P968" s="209"/>
    </row>
    <row r="969" spans="1:16" ht="11.25" customHeight="1" x14ac:dyDescent="0.2">
      <c r="A969" s="255"/>
      <c r="B969" s="259"/>
      <c r="C969" s="260"/>
      <c r="D969" s="73"/>
      <c r="E969" s="209"/>
      <c r="F969" s="209"/>
      <c r="G969" s="209"/>
      <c r="H969" s="209"/>
      <c r="I969" s="209"/>
      <c r="J969" s="209"/>
      <c r="K969" s="209"/>
      <c r="L969" s="209"/>
      <c r="M969" s="209"/>
      <c r="N969" s="209"/>
      <c r="O969" s="209"/>
      <c r="P969" s="209"/>
    </row>
    <row r="970" spans="1:16" ht="11.25" customHeight="1" x14ac:dyDescent="0.2">
      <c r="A970" s="255"/>
      <c r="B970" s="259"/>
      <c r="C970" s="260"/>
      <c r="D970" s="73"/>
      <c r="E970" s="209"/>
      <c r="F970" s="209"/>
      <c r="G970" s="209"/>
      <c r="H970" s="209"/>
      <c r="I970" s="209"/>
      <c r="J970" s="209"/>
      <c r="K970" s="209"/>
      <c r="L970" s="209"/>
      <c r="M970" s="209"/>
      <c r="N970" s="209"/>
      <c r="O970" s="209"/>
      <c r="P970" s="209"/>
    </row>
    <row r="971" spans="1:16" ht="11.25" customHeight="1" x14ac:dyDescent="0.2">
      <c r="A971" s="255"/>
      <c r="B971" s="259"/>
      <c r="C971" s="260"/>
      <c r="D971" s="73"/>
      <c r="E971" s="209"/>
      <c r="F971" s="209"/>
      <c r="G971" s="209"/>
      <c r="H971" s="209"/>
      <c r="I971" s="209"/>
      <c r="J971" s="209"/>
      <c r="K971" s="209"/>
      <c r="L971" s="209"/>
      <c r="M971" s="209"/>
      <c r="N971" s="209"/>
      <c r="O971" s="209"/>
      <c r="P971" s="209"/>
    </row>
    <row r="972" spans="1:16" ht="11.25" customHeight="1" x14ac:dyDescent="0.2">
      <c r="A972" s="255"/>
      <c r="B972" s="259"/>
      <c r="C972" s="260"/>
      <c r="D972" s="73"/>
      <c r="E972" s="209"/>
      <c r="F972" s="209"/>
      <c r="G972" s="209"/>
      <c r="H972" s="209"/>
      <c r="I972" s="209"/>
      <c r="J972" s="209"/>
      <c r="K972" s="209"/>
      <c r="L972" s="209"/>
      <c r="M972" s="209"/>
      <c r="N972" s="209"/>
      <c r="O972" s="209"/>
      <c r="P972" s="209"/>
    </row>
    <row r="973" spans="1:16" ht="11.25" customHeight="1" x14ac:dyDescent="0.2">
      <c r="A973" s="255"/>
      <c r="B973" s="259"/>
      <c r="C973" s="260"/>
      <c r="D973" s="73"/>
      <c r="E973" s="209"/>
      <c r="F973" s="209"/>
      <c r="G973" s="209"/>
      <c r="H973" s="209"/>
      <c r="I973" s="209"/>
      <c r="J973" s="209"/>
      <c r="K973" s="209"/>
      <c r="L973" s="209"/>
      <c r="M973" s="209"/>
      <c r="N973" s="209"/>
      <c r="O973" s="209"/>
      <c r="P973" s="209"/>
    </row>
    <row r="974" spans="1:16" ht="11.25" customHeight="1" x14ac:dyDescent="0.2">
      <c r="A974" s="255"/>
      <c r="B974" s="259"/>
      <c r="C974" s="260"/>
      <c r="D974" s="73"/>
      <c r="E974" s="209"/>
      <c r="F974" s="209"/>
      <c r="G974" s="209"/>
      <c r="H974" s="209"/>
      <c r="I974" s="209"/>
      <c r="J974" s="209"/>
      <c r="K974" s="209"/>
      <c r="L974" s="209"/>
      <c r="M974" s="209"/>
      <c r="N974" s="209"/>
      <c r="O974" s="209"/>
      <c r="P974" s="209"/>
    </row>
    <row r="975" spans="1:16" ht="11.25" customHeight="1" x14ac:dyDescent="0.2">
      <c r="A975" s="255"/>
      <c r="B975" s="259"/>
      <c r="C975" s="260"/>
      <c r="D975" s="73"/>
      <c r="E975" s="209"/>
      <c r="F975" s="209"/>
      <c r="G975" s="209"/>
      <c r="H975" s="209"/>
      <c r="I975" s="209"/>
      <c r="J975" s="209"/>
      <c r="K975" s="209"/>
      <c r="L975" s="209"/>
      <c r="M975" s="209"/>
      <c r="N975" s="209"/>
      <c r="O975" s="209"/>
      <c r="P975" s="209"/>
    </row>
    <row r="976" spans="1:16" ht="11.25" customHeight="1" x14ac:dyDescent="0.2">
      <c r="A976" s="255"/>
      <c r="B976" s="259"/>
      <c r="C976" s="260"/>
      <c r="D976" s="73"/>
      <c r="E976" s="209"/>
      <c r="F976" s="209"/>
      <c r="G976" s="209"/>
      <c r="H976" s="209"/>
      <c r="I976" s="209"/>
      <c r="J976" s="209"/>
      <c r="K976" s="209"/>
      <c r="L976" s="209"/>
      <c r="M976" s="209"/>
      <c r="N976" s="209"/>
      <c r="O976" s="209"/>
      <c r="P976" s="209"/>
    </row>
    <row r="977" spans="1:16" ht="11.25" customHeight="1" x14ac:dyDescent="0.2">
      <c r="A977" s="255"/>
      <c r="B977" s="259"/>
      <c r="C977" s="260"/>
      <c r="D977" s="73"/>
      <c r="E977" s="209"/>
      <c r="F977" s="209"/>
      <c r="G977" s="209"/>
      <c r="H977" s="209"/>
      <c r="I977" s="209"/>
      <c r="J977" s="209"/>
      <c r="K977" s="209"/>
      <c r="L977" s="209"/>
      <c r="M977" s="209"/>
      <c r="N977" s="209"/>
      <c r="O977" s="209"/>
      <c r="P977" s="209"/>
    </row>
    <row r="978" spans="1:16" ht="11.25" customHeight="1" x14ac:dyDescent="0.2">
      <c r="A978" s="255"/>
      <c r="B978" s="259"/>
      <c r="C978" s="260"/>
      <c r="D978" s="73"/>
      <c r="E978" s="209"/>
      <c r="F978" s="209"/>
      <c r="G978" s="209"/>
      <c r="H978" s="209"/>
      <c r="I978" s="209"/>
      <c r="J978" s="209"/>
      <c r="K978" s="209"/>
      <c r="L978" s="209"/>
      <c r="M978" s="209"/>
      <c r="N978" s="209"/>
      <c r="O978" s="209"/>
      <c r="P978" s="209"/>
    </row>
    <row r="979" spans="1:16" ht="11.25" customHeight="1" x14ac:dyDescent="0.2">
      <c r="A979" s="255"/>
      <c r="B979" s="259"/>
      <c r="C979" s="260"/>
      <c r="D979" s="73"/>
      <c r="E979" s="209"/>
      <c r="F979" s="209"/>
      <c r="G979" s="209"/>
      <c r="H979" s="209"/>
      <c r="I979" s="209"/>
      <c r="J979" s="209"/>
      <c r="K979" s="209"/>
      <c r="L979" s="209"/>
      <c r="M979" s="209"/>
      <c r="N979" s="209"/>
      <c r="O979" s="209"/>
      <c r="P979" s="209"/>
    </row>
    <row r="980" spans="1:16" ht="11.25" customHeight="1" x14ac:dyDescent="0.2">
      <c r="A980" s="255"/>
      <c r="B980" s="259"/>
      <c r="C980" s="260"/>
      <c r="D980" s="73"/>
      <c r="E980" s="209"/>
      <c r="F980" s="209"/>
      <c r="G980" s="209"/>
      <c r="H980" s="209"/>
      <c r="I980" s="209"/>
      <c r="J980" s="209"/>
      <c r="K980" s="209"/>
      <c r="L980" s="209"/>
      <c r="M980" s="209"/>
      <c r="N980" s="209"/>
      <c r="O980" s="209"/>
      <c r="P980" s="209"/>
    </row>
    <row r="981" spans="1:16" ht="11.25" customHeight="1" x14ac:dyDescent="0.2">
      <c r="A981" s="255"/>
      <c r="B981" s="259"/>
      <c r="C981" s="260"/>
      <c r="D981" s="73"/>
      <c r="E981" s="209"/>
      <c r="F981" s="209"/>
      <c r="G981" s="209"/>
      <c r="H981" s="209"/>
      <c r="I981" s="209"/>
      <c r="J981" s="209"/>
      <c r="K981" s="209"/>
      <c r="L981" s="209"/>
      <c r="M981" s="209"/>
      <c r="N981" s="209"/>
      <c r="O981" s="209"/>
      <c r="P981" s="209"/>
    </row>
    <row r="982" spans="1:16" ht="11.25" customHeight="1" x14ac:dyDescent="0.2">
      <c r="A982" s="255"/>
      <c r="B982" s="259"/>
      <c r="C982" s="260"/>
      <c r="D982" s="73"/>
      <c r="E982" s="209"/>
      <c r="F982" s="209"/>
      <c r="G982" s="209"/>
      <c r="H982" s="209"/>
      <c r="I982" s="209"/>
      <c r="J982" s="209"/>
      <c r="K982" s="209"/>
      <c r="L982" s="209"/>
      <c r="M982" s="209"/>
      <c r="N982" s="209"/>
      <c r="O982" s="209"/>
      <c r="P982" s="209"/>
    </row>
    <row r="983" spans="1:16" ht="11.25" customHeight="1" x14ac:dyDescent="0.2">
      <c r="A983" s="255"/>
      <c r="B983" s="259"/>
      <c r="C983" s="260"/>
      <c r="D983" s="73"/>
      <c r="E983" s="209"/>
      <c r="F983" s="209"/>
      <c r="G983" s="209"/>
      <c r="H983" s="209"/>
      <c r="I983" s="209"/>
      <c r="J983" s="209"/>
      <c r="K983" s="209"/>
      <c r="L983" s="209"/>
      <c r="M983" s="209"/>
      <c r="N983" s="209"/>
      <c r="O983" s="209"/>
      <c r="P983" s="209"/>
    </row>
    <row r="984" spans="1:16" ht="11.25" customHeight="1" x14ac:dyDescent="0.2">
      <c r="A984" s="255"/>
      <c r="B984" s="259"/>
      <c r="C984" s="260"/>
      <c r="D984" s="73"/>
      <c r="E984" s="209"/>
      <c r="F984" s="209"/>
      <c r="G984" s="209"/>
      <c r="H984" s="209"/>
      <c r="I984" s="209"/>
      <c r="J984" s="209"/>
      <c r="K984" s="209"/>
      <c r="L984" s="209"/>
      <c r="M984" s="209"/>
      <c r="N984" s="209"/>
      <c r="O984" s="209"/>
      <c r="P984" s="209"/>
    </row>
    <row r="985" spans="1:16" ht="11.25" customHeight="1" x14ac:dyDescent="0.2">
      <c r="A985" s="255"/>
      <c r="B985" s="259"/>
      <c r="C985" s="260"/>
      <c r="D985" s="73"/>
      <c r="E985" s="209"/>
      <c r="F985" s="209"/>
      <c r="G985" s="209"/>
      <c r="H985" s="209"/>
      <c r="I985" s="209"/>
      <c r="J985" s="209"/>
      <c r="K985" s="209"/>
      <c r="L985" s="209"/>
      <c r="M985" s="209"/>
      <c r="N985" s="209"/>
      <c r="O985" s="209"/>
      <c r="P985" s="209"/>
    </row>
    <row r="986" spans="1:16" ht="11.25" customHeight="1" x14ac:dyDescent="0.2">
      <c r="A986" s="255"/>
      <c r="B986" s="259"/>
      <c r="C986" s="260"/>
      <c r="D986" s="73"/>
      <c r="E986" s="209"/>
      <c r="F986" s="209"/>
      <c r="G986" s="209"/>
      <c r="H986" s="209"/>
      <c r="I986" s="209"/>
      <c r="J986" s="209"/>
      <c r="K986" s="209"/>
      <c r="L986" s="209"/>
      <c r="M986" s="209"/>
      <c r="N986" s="209"/>
      <c r="O986" s="209"/>
      <c r="P986" s="209"/>
    </row>
    <row r="987" spans="1:16" ht="11.25" customHeight="1" x14ac:dyDescent="0.2">
      <c r="A987" s="255"/>
      <c r="B987" s="259"/>
      <c r="C987" s="260"/>
      <c r="D987" s="73"/>
      <c r="E987" s="209"/>
      <c r="F987" s="209"/>
      <c r="G987" s="209"/>
      <c r="H987" s="209"/>
      <c r="I987" s="209"/>
      <c r="J987" s="209"/>
      <c r="K987" s="209"/>
      <c r="L987" s="209"/>
      <c r="M987" s="209"/>
      <c r="N987" s="209"/>
      <c r="O987" s="209"/>
      <c r="P987" s="209"/>
    </row>
    <row r="988" spans="1:16" ht="11.25" customHeight="1" x14ac:dyDescent="0.2">
      <c r="A988" s="255"/>
      <c r="B988" s="259"/>
      <c r="C988" s="260"/>
      <c r="D988" s="73"/>
      <c r="E988" s="209"/>
      <c r="F988" s="209"/>
      <c r="G988" s="209"/>
      <c r="H988" s="209"/>
      <c r="I988" s="209"/>
      <c r="J988" s="209"/>
      <c r="K988" s="209"/>
      <c r="L988" s="209"/>
      <c r="M988" s="209"/>
      <c r="N988" s="209"/>
      <c r="O988" s="209"/>
      <c r="P988" s="209"/>
    </row>
    <row r="989" spans="1:16" ht="11.25" customHeight="1" x14ac:dyDescent="0.2">
      <c r="A989" s="255"/>
      <c r="B989" s="259"/>
      <c r="C989" s="260"/>
      <c r="D989" s="73"/>
      <c r="E989" s="209"/>
      <c r="F989" s="209"/>
      <c r="G989" s="209"/>
      <c r="H989" s="209"/>
      <c r="I989" s="209"/>
      <c r="J989" s="209"/>
      <c r="K989" s="209"/>
      <c r="L989" s="209"/>
      <c r="M989" s="209"/>
      <c r="N989" s="209"/>
      <c r="O989" s="209"/>
      <c r="P989" s="209"/>
    </row>
    <row r="990" spans="1:16" ht="11.25" customHeight="1" x14ac:dyDescent="0.2">
      <c r="A990" s="255"/>
      <c r="B990" s="259"/>
      <c r="C990" s="260"/>
      <c r="D990" s="73"/>
      <c r="E990" s="209"/>
      <c r="F990" s="209"/>
      <c r="G990" s="209"/>
      <c r="H990" s="209"/>
      <c r="I990" s="209"/>
      <c r="J990" s="209"/>
      <c r="K990" s="209"/>
      <c r="L990" s="209"/>
      <c r="M990" s="209"/>
      <c r="N990" s="209"/>
      <c r="O990" s="209"/>
      <c r="P990" s="209"/>
    </row>
    <row r="991" spans="1:16" ht="11.25" customHeight="1" x14ac:dyDescent="0.2">
      <c r="A991" s="255"/>
      <c r="B991" s="259"/>
      <c r="C991" s="260"/>
      <c r="D991" s="73"/>
      <c r="E991" s="209"/>
      <c r="F991" s="209"/>
      <c r="G991" s="209"/>
      <c r="H991" s="209"/>
      <c r="I991" s="209"/>
      <c r="J991" s="209"/>
      <c r="K991" s="209"/>
      <c r="L991" s="209"/>
      <c r="M991" s="209"/>
      <c r="N991" s="209"/>
      <c r="O991" s="209"/>
      <c r="P991" s="209"/>
    </row>
    <row r="992" spans="1:16" ht="11.25" customHeight="1" x14ac:dyDescent="0.2">
      <c r="A992" s="255"/>
      <c r="B992" s="259"/>
      <c r="C992" s="260"/>
      <c r="D992" s="73"/>
      <c r="E992" s="209"/>
      <c r="F992" s="209"/>
      <c r="G992" s="209"/>
      <c r="H992" s="209"/>
      <c r="I992" s="209"/>
      <c r="J992" s="209"/>
      <c r="K992" s="209"/>
      <c r="L992" s="209"/>
      <c r="M992" s="209"/>
      <c r="N992" s="209"/>
      <c r="O992" s="209"/>
      <c r="P992" s="209"/>
    </row>
    <row r="993" spans="1:16" ht="11.25" customHeight="1" x14ac:dyDescent="0.2">
      <c r="A993" s="255"/>
      <c r="B993" s="259"/>
      <c r="C993" s="260"/>
      <c r="D993" s="73"/>
      <c r="E993" s="209"/>
      <c r="F993" s="209"/>
      <c r="G993" s="209"/>
      <c r="H993" s="209"/>
      <c r="I993" s="209"/>
      <c r="J993" s="209"/>
      <c r="K993" s="209"/>
      <c r="L993" s="209"/>
      <c r="M993" s="209"/>
      <c r="N993" s="209"/>
      <c r="O993" s="209"/>
      <c r="P993" s="209"/>
    </row>
    <row r="994" spans="1:16" ht="11.25" customHeight="1" x14ac:dyDescent="0.2">
      <c r="A994" s="255"/>
      <c r="B994" s="259"/>
      <c r="C994" s="260"/>
      <c r="D994" s="73"/>
      <c r="E994" s="209"/>
      <c r="F994" s="209"/>
      <c r="G994" s="209"/>
      <c r="H994" s="209"/>
      <c r="I994" s="209"/>
      <c r="J994" s="209"/>
      <c r="K994" s="209"/>
      <c r="L994" s="209"/>
      <c r="M994" s="209"/>
      <c r="N994" s="209"/>
      <c r="O994" s="209"/>
      <c r="P994" s="209"/>
    </row>
    <row r="995" spans="1:16" ht="11.25" customHeight="1" x14ac:dyDescent="0.2">
      <c r="A995" s="255"/>
      <c r="B995" s="259"/>
      <c r="C995" s="260"/>
      <c r="D995" s="73"/>
      <c r="E995" s="209"/>
      <c r="F995" s="209"/>
      <c r="G995" s="209"/>
      <c r="H995" s="209"/>
      <c r="I995" s="209"/>
      <c r="J995" s="209"/>
      <c r="K995" s="209"/>
      <c r="L995" s="209"/>
      <c r="M995" s="209"/>
      <c r="N995" s="209"/>
      <c r="O995" s="209"/>
      <c r="P995" s="209"/>
    </row>
    <row r="996" spans="1:16" ht="11.25" customHeight="1" x14ac:dyDescent="0.2">
      <c r="A996" s="255"/>
      <c r="B996" s="259"/>
      <c r="C996" s="260"/>
      <c r="D996" s="73"/>
      <c r="E996" s="209"/>
      <c r="F996" s="209"/>
      <c r="G996" s="209"/>
      <c r="H996" s="209"/>
      <c r="I996" s="209"/>
      <c r="J996" s="209"/>
      <c r="K996" s="209"/>
      <c r="L996" s="209"/>
      <c r="M996" s="209"/>
      <c r="N996" s="209"/>
      <c r="O996" s="209"/>
      <c r="P996" s="209"/>
    </row>
    <row r="997" spans="1:16" ht="11.25" customHeight="1" x14ac:dyDescent="0.2">
      <c r="A997" s="255"/>
      <c r="B997" s="259"/>
      <c r="C997" s="260"/>
      <c r="D997" s="73"/>
      <c r="E997" s="209"/>
      <c r="F997" s="209"/>
      <c r="G997" s="209"/>
      <c r="H997" s="209"/>
      <c r="I997" s="209"/>
      <c r="J997" s="209"/>
      <c r="K997" s="209"/>
      <c r="L997" s="209"/>
      <c r="M997" s="209"/>
      <c r="N997" s="209"/>
      <c r="O997" s="209"/>
      <c r="P997" s="209"/>
    </row>
    <row r="998" spans="1:16" ht="11.25" customHeight="1" x14ac:dyDescent="0.2">
      <c r="A998" s="255"/>
      <c r="B998" s="259"/>
      <c r="C998" s="260"/>
      <c r="D998" s="73"/>
      <c r="E998" s="209"/>
      <c r="F998" s="209"/>
      <c r="G998" s="209"/>
      <c r="H998" s="209"/>
      <c r="I998" s="209"/>
      <c r="J998" s="209"/>
      <c r="K998" s="209"/>
      <c r="L998" s="209"/>
      <c r="M998" s="209"/>
      <c r="N998" s="209"/>
      <c r="O998" s="209"/>
      <c r="P998" s="209"/>
    </row>
    <row r="999" spans="1:16" ht="11.25" customHeight="1" x14ac:dyDescent="0.2">
      <c r="A999" s="255"/>
      <c r="B999" s="259"/>
      <c r="C999" s="260"/>
      <c r="D999" s="73"/>
      <c r="E999" s="209"/>
      <c r="F999" s="209"/>
      <c r="G999" s="209"/>
      <c r="H999" s="209"/>
      <c r="I999" s="209"/>
      <c r="J999" s="209"/>
      <c r="K999" s="209"/>
      <c r="L999" s="209"/>
      <c r="M999" s="209"/>
      <c r="N999" s="209"/>
      <c r="O999" s="209"/>
      <c r="P999" s="209"/>
    </row>
    <row r="1000" spans="1:16" ht="11.25" customHeight="1" x14ac:dyDescent="0.2">
      <c r="A1000" s="255"/>
      <c r="B1000" s="259"/>
      <c r="C1000" s="260"/>
      <c r="D1000" s="73"/>
      <c r="E1000" s="209"/>
      <c r="F1000" s="209"/>
      <c r="G1000" s="209"/>
      <c r="H1000" s="209"/>
      <c r="I1000" s="209"/>
      <c r="J1000" s="209"/>
      <c r="K1000" s="209"/>
      <c r="L1000" s="209"/>
      <c r="M1000" s="209"/>
      <c r="N1000" s="209"/>
      <c r="O1000" s="209"/>
      <c r="P1000" s="209"/>
    </row>
    <row r="1001" spans="1:16" ht="11.25" customHeight="1" x14ac:dyDescent="0.2">
      <c r="A1001" s="255"/>
      <c r="B1001" s="259"/>
      <c r="C1001" s="260"/>
      <c r="D1001" s="73"/>
      <c r="E1001" s="209"/>
      <c r="F1001" s="209"/>
      <c r="G1001" s="209"/>
      <c r="H1001" s="209"/>
      <c r="I1001" s="209"/>
      <c r="J1001" s="209"/>
      <c r="K1001" s="209"/>
      <c r="L1001" s="209"/>
      <c r="M1001" s="209"/>
      <c r="N1001" s="209"/>
      <c r="O1001" s="209"/>
      <c r="P1001" s="209"/>
    </row>
    <row r="1002" spans="1:16" ht="11.25" customHeight="1" x14ac:dyDescent="0.2">
      <c r="A1002" s="255"/>
      <c r="B1002" s="259"/>
      <c r="C1002" s="260"/>
      <c r="D1002" s="73"/>
      <c r="E1002" s="209"/>
      <c r="F1002" s="209"/>
      <c r="G1002" s="209"/>
      <c r="H1002" s="209"/>
      <c r="I1002" s="209"/>
      <c r="J1002" s="209"/>
      <c r="K1002" s="209"/>
      <c r="L1002" s="209"/>
      <c r="M1002" s="209"/>
      <c r="N1002" s="209"/>
      <c r="O1002" s="209"/>
      <c r="P1002" s="209"/>
    </row>
    <row r="1003" spans="1:16" ht="11.25" customHeight="1" x14ac:dyDescent="0.2">
      <c r="A1003" s="255"/>
      <c r="B1003" s="259"/>
      <c r="C1003" s="260"/>
      <c r="D1003" s="73"/>
      <c r="E1003" s="209"/>
      <c r="F1003" s="209"/>
      <c r="G1003" s="209"/>
      <c r="H1003" s="209"/>
      <c r="I1003" s="209"/>
      <c r="J1003" s="209"/>
      <c r="K1003" s="209"/>
      <c r="L1003" s="209"/>
      <c r="M1003" s="209"/>
      <c r="N1003" s="209"/>
      <c r="O1003" s="209"/>
      <c r="P1003" s="209"/>
    </row>
    <row r="1004" spans="1:16" ht="11.25" customHeight="1" x14ac:dyDescent="0.2">
      <c r="A1004" s="255"/>
      <c r="B1004" s="259"/>
      <c r="C1004" s="260"/>
      <c r="D1004" s="73"/>
      <c r="E1004" s="209"/>
      <c r="F1004" s="209"/>
      <c r="G1004" s="209"/>
      <c r="H1004" s="209"/>
      <c r="I1004" s="209"/>
      <c r="J1004" s="209"/>
      <c r="K1004" s="209"/>
      <c r="L1004" s="209"/>
      <c r="M1004" s="209"/>
      <c r="N1004" s="209"/>
      <c r="O1004" s="209"/>
      <c r="P1004" s="209"/>
    </row>
    <row r="1005" spans="1:16" ht="11.25" customHeight="1" x14ac:dyDescent="0.2">
      <c r="A1005" s="255"/>
      <c r="B1005" s="259"/>
      <c r="C1005" s="260"/>
      <c r="D1005" s="73"/>
      <c r="E1005" s="209"/>
      <c r="F1005" s="209"/>
      <c r="G1005" s="209"/>
      <c r="H1005" s="209"/>
      <c r="I1005" s="209"/>
      <c r="J1005" s="209"/>
      <c r="K1005" s="209"/>
      <c r="L1005" s="209"/>
      <c r="M1005" s="209"/>
      <c r="N1005" s="209"/>
      <c r="O1005" s="209"/>
      <c r="P1005" s="209"/>
    </row>
    <row r="1006" spans="1:16" ht="11.25" customHeight="1" x14ac:dyDescent="0.2">
      <c r="A1006" s="255"/>
      <c r="B1006" s="259"/>
      <c r="C1006" s="260"/>
      <c r="D1006" s="73"/>
      <c r="E1006" s="209"/>
      <c r="F1006" s="209"/>
      <c r="G1006" s="209"/>
      <c r="H1006" s="209"/>
      <c r="I1006" s="209"/>
      <c r="J1006" s="209"/>
      <c r="K1006" s="209"/>
      <c r="L1006" s="209"/>
      <c r="M1006" s="209"/>
      <c r="N1006" s="209"/>
      <c r="O1006" s="209"/>
      <c r="P1006" s="209"/>
    </row>
    <row r="1007" spans="1:16" ht="11.25" customHeight="1" x14ac:dyDescent="0.2">
      <c r="A1007" s="255"/>
      <c r="B1007" s="259"/>
      <c r="C1007" s="260"/>
      <c r="D1007" s="73"/>
      <c r="E1007" s="209"/>
      <c r="F1007" s="209"/>
      <c r="G1007" s="209"/>
      <c r="H1007" s="209"/>
      <c r="I1007" s="209"/>
      <c r="J1007" s="209"/>
      <c r="K1007" s="209"/>
      <c r="L1007" s="209"/>
      <c r="M1007" s="209"/>
      <c r="N1007" s="209"/>
      <c r="O1007" s="209"/>
      <c r="P1007" s="209"/>
    </row>
    <row r="1008" spans="1:16" ht="11.25" customHeight="1" x14ac:dyDescent="0.2">
      <c r="A1008" s="255"/>
      <c r="B1008" s="259"/>
      <c r="C1008" s="260"/>
      <c r="D1008" s="73"/>
      <c r="E1008" s="209"/>
      <c r="F1008" s="209"/>
      <c r="G1008" s="209"/>
      <c r="H1008" s="209"/>
      <c r="I1008" s="209"/>
      <c r="J1008" s="209"/>
      <c r="K1008" s="209"/>
      <c r="L1008" s="209"/>
      <c r="M1008" s="209"/>
      <c r="N1008" s="209"/>
      <c r="O1008" s="209"/>
      <c r="P1008" s="209"/>
    </row>
    <row r="1009" spans="1:16" ht="11.25" customHeight="1" x14ac:dyDescent="0.2">
      <c r="A1009" s="255"/>
      <c r="B1009" s="259"/>
      <c r="C1009" s="260"/>
      <c r="D1009" s="73"/>
      <c r="E1009" s="209"/>
      <c r="F1009" s="209"/>
      <c r="G1009" s="209"/>
      <c r="H1009" s="209"/>
      <c r="I1009" s="209"/>
      <c r="J1009" s="209"/>
      <c r="K1009" s="209"/>
      <c r="L1009" s="209"/>
      <c r="M1009" s="209"/>
      <c r="N1009" s="209"/>
      <c r="O1009" s="209"/>
      <c r="P1009" s="209"/>
    </row>
    <row r="1010" spans="1:16" ht="11.25" customHeight="1" x14ac:dyDescent="0.2">
      <c r="A1010" s="255"/>
      <c r="B1010" s="259"/>
      <c r="C1010" s="260"/>
      <c r="D1010" s="73"/>
      <c r="E1010" s="209"/>
      <c r="F1010" s="209"/>
      <c r="G1010" s="209"/>
      <c r="H1010" s="209"/>
      <c r="I1010" s="209"/>
      <c r="J1010" s="209"/>
      <c r="K1010" s="209"/>
      <c r="L1010" s="209"/>
      <c r="M1010" s="209"/>
      <c r="N1010" s="209"/>
      <c r="O1010" s="209"/>
      <c r="P1010" s="209"/>
    </row>
    <row r="1011" spans="1:16" ht="11.25" customHeight="1" x14ac:dyDescent="0.2">
      <c r="A1011" s="255"/>
      <c r="B1011" s="259"/>
      <c r="C1011" s="260"/>
      <c r="D1011" s="73"/>
      <c r="E1011" s="209"/>
      <c r="F1011" s="209"/>
      <c r="G1011" s="209"/>
      <c r="H1011" s="209"/>
      <c r="I1011" s="209"/>
      <c r="J1011" s="209"/>
      <c r="K1011" s="209"/>
      <c r="L1011" s="209"/>
      <c r="M1011" s="209"/>
      <c r="N1011" s="209"/>
      <c r="O1011" s="209"/>
      <c r="P1011" s="209"/>
    </row>
    <row r="1012" spans="1:16" ht="11.25" customHeight="1" x14ac:dyDescent="0.2">
      <c r="A1012" s="255"/>
      <c r="B1012" s="259"/>
      <c r="C1012" s="260"/>
      <c r="D1012" s="73"/>
      <c r="E1012" s="209"/>
      <c r="F1012" s="209"/>
      <c r="G1012" s="209"/>
      <c r="H1012" s="209"/>
      <c r="I1012" s="209"/>
      <c r="J1012" s="209"/>
      <c r="K1012" s="209"/>
      <c r="L1012" s="209"/>
      <c r="M1012" s="209"/>
      <c r="N1012" s="209"/>
      <c r="O1012" s="209"/>
      <c r="P1012" s="209"/>
    </row>
    <row r="1013" spans="1:16" ht="11.25" customHeight="1" x14ac:dyDescent="0.2">
      <c r="A1013" s="255"/>
      <c r="B1013" s="259"/>
      <c r="C1013" s="260"/>
      <c r="D1013" s="73"/>
      <c r="E1013" s="209"/>
      <c r="F1013" s="209"/>
      <c r="G1013" s="209"/>
      <c r="H1013" s="209"/>
      <c r="I1013" s="209"/>
      <c r="J1013" s="209"/>
      <c r="K1013" s="209"/>
      <c r="L1013" s="209"/>
      <c r="M1013" s="209"/>
      <c r="N1013" s="209"/>
      <c r="O1013" s="209"/>
      <c r="P1013" s="209"/>
    </row>
    <row r="1014" spans="1:16" ht="11.25" customHeight="1" x14ac:dyDescent="0.2">
      <c r="A1014" s="255"/>
      <c r="B1014" s="259"/>
      <c r="C1014" s="260"/>
      <c r="D1014" s="73"/>
      <c r="E1014" s="209"/>
      <c r="F1014" s="209"/>
      <c r="G1014" s="209"/>
      <c r="H1014" s="209"/>
      <c r="I1014" s="209"/>
      <c r="J1014" s="209"/>
      <c r="K1014" s="209"/>
      <c r="L1014" s="209"/>
      <c r="M1014" s="209"/>
      <c r="N1014" s="209"/>
      <c r="O1014" s="209"/>
      <c r="P1014" s="209"/>
    </row>
    <row r="1015" spans="1:16" ht="11.25" customHeight="1" x14ac:dyDescent="0.2">
      <c r="A1015" s="255"/>
      <c r="B1015" s="259"/>
      <c r="C1015" s="260"/>
      <c r="D1015" s="73"/>
      <c r="E1015" s="209"/>
      <c r="F1015" s="209"/>
      <c r="G1015" s="209"/>
      <c r="H1015" s="209"/>
      <c r="I1015" s="209"/>
      <c r="J1015" s="209"/>
      <c r="K1015" s="209"/>
      <c r="L1015" s="209"/>
      <c r="M1015" s="209"/>
      <c r="N1015" s="209"/>
      <c r="O1015" s="209"/>
      <c r="P1015" s="209"/>
    </row>
    <row r="1016" spans="1:16" ht="11.25" customHeight="1" x14ac:dyDescent="0.2">
      <c r="A1016" s="255"/>
      <c r="B1016" s="259"/>
      <c r="C1016" s="260"/>
      <c r="D1016" s="73"/>
      <c r="E1016" s="209"/>
      <c r="F1016" s="209"/>
      <c r="G1016" s="209"/>
      <c r="H1016" s="209"/>
      <c r="I1016" s="209"/>
      <c r="J1016" s="209"/>
      <c r="K1016" s="209"/>
      <c r="L1016" s="209"/>
      <c r="M1016" s="209"/>
      <c r="N1016" s="209"/>
      <c r="O1016" s="209"/>
      <c r="P1016" s="209"/>
    </row>
    <row r="1017" spans="1:16" ht="11.25" customHeight="1" x14ac:dyDescent="0.2">
      <c r="A1017" s="255"/>
      <c r="B1017" s="259"/>
      <c r="C1017" s="260"/>
      <c r="D1017" s="73"/>
      <c r="E1017" s="209"/>
      <c r="F1017" s="209"/>
      <c r="G1017" s="209"/>
      <c r="H1017" s="209"/>
      <c r="I1017" s="209"/>
      <c r="J1017" s="209"/>
      <c r="K1017" s="209"/>
      <c r="L1017" s="209"/>
      <c r="M1017" s="209"/>
      <c r="N1017" s="209"/>
      <c r="O1017" s="209"/>
      <c r="P1017" s="209"/>
    </row>
    <row r="1018" spans="1:16" ht="11.25" customHeight="1" x14ac:dyDescent="0.2">
      <c r="A1018" s="255"/>
      <c r="B1018" s="259"/>
      <c r="C1018" s="260"/>
      <c r="D1018" s="73"/>
      <c r="E1018" s="209"/>
      <c r="F1018" s="209"/>
      <c r="G1018" s="209"/>
      <c r="H1018" s="209"/>
      <c r="I1018" s="209"/>
      <c r="J1018" s="209"/>
      <c r="K1018" s="209"/>
      <c r="L1018" s="209"/>
      <c r="M1018" s="209"/>
      <c r="N1018" s="209"/>
      <c r="O1018" s="209"/>
      <c r="P1018" s="209"/>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3346</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C57"/>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52" t="s">
        <v>3347</v>
      </c>
      <c r="B1" s="352"/>
      <c r="C1" s="352"/>
    </row>
    <row r="2" spans="1:17" ht="33" customHeight="1" x14ac:dyDescent="0.2">
      <c r="A2" s="353" t="s">
        <v>3348</v>
      </c>
      <c r="B2" s="354"/>
      <c r="C2" s="351"/>
      <c r="D2" s="7"/>
      <c r="E2" s="7"/>
      <c r="F2" s="7"/>
      <c r="G2" s="7"/>
      <c r="H2" s="7"/>
      <c r="I2" s="7"/>
      <c r="J2" s="7"/>
      <c r="K2" s="7"/>
      <c r="L2" s="7"/>
      <c r="M2" s="7"/>
      <c r="N2" s="7"/>
      <c r="O2" s="7"/>
      <c r="P2" s="7"/>
      <c r="Q2" s="7"/>
    </row>
    <row r="3" spans="1:17" ht="18.75" customHeight="1" x14ac:dyDescent="0.2">
      <c r="A3" s="160" t="s">
        <v>3349</v>
      </c>
      <c r="B3" s="355" t="s">
        <v>3350</v>
      </c>
      <c r="C3" s="351"/>
      <c r="D3" s="7"/>
      <c r="E3" s="7"/>
      <c r="F3" s="7"/>
      <c r="G3" s="7"/>
      <c r="H3" s="7"/>
      <c r="I3" s="7"/>
      <c r="J3" s="7"/>
      <c r="K3" s="7"/>
      <c r="L3" s="7"/>
      <c r="M3" s="7"/>
      <c r="N3" s="7"/>
      <c r="O3" s="7"/>
      <c r="P3" s="7"/>
      <c r="Q3" s="7"/>
    </row>
    <row r="4" spans="1:17" ht="37.5" hidden="1" customHeight="1" x14ac:dyDescent="0.2">
      <c r="A4" s="161" t="s">
        <v>3351</v>
      </c>
      <c r="B4" s="350" t="s">
        <v>3352</v>
      </c>
      <c r="C4" s="351"/>
      <c r="D4" s="7"/>
      <c r="E4" s="7"/>
      <c r="F4" s="7"/>
      <c r="G4" s="7"/>
      <c r="H4" s="7"/>
      <c r="I4" s="7"/>
      <c r="J4" s="7"/>
      <c r="K4" s="7"/>
      <c r="L4" s="7"/>
      <c r="M4" s="7"/>
      <c r="N4" s="7"/>
      <c r="O4" s="7"/>
      <c r="P4" s="7"/>
      <c r="Q4" s="7"/>
    </row>
    <row r="5" spans="1:17" ht="48" hidden="1" customHeight="1" x14ac:dyDescent="0.2">
      <c r="A5" s="161" t="s">
        <v>3351</v>
      </c>
      <c r="B5" s="350" t="s">
        <v>3353</v>
      </c>
      <c r="C5" s="351"/>
      <c r="D5" s="7"/>
      <c r="E5" s="7"/>
      <c r="F5" s="7"/>
      <c r="G5" s="7"/>
      <c r="H5" s="7"/>
      <c r="I5" s="7"/>
      <c r="J5" s="7"/>
      <c r="K5" s="7"/>
      <c r="L5" s="7"/>
      <c r="M5" s="7"/>
      <c r="N5" s="7"/>
      <c r="O5" s="7"/>
      <c r="P5" s="7"/>
      <c r="Q5" s="7"/>
    </row>
    <row r="6" spans="1:17" ht="59.25" hidden="1" customHeight="1" x14ac:dyDescent="0.2">
      <c r="A6" s="161" t="s">
        <v>3351</v>
      </c>
      <c r="B6" s="350" t="s">
        <v>3354</v>
      </c>
      <c r="C6" s="351"/>
      <c r="D6" s="7"/>
      <c r="E6" s="7"/>
      <c r="F6" s="7"/>
      <c r="G6" s="7"/>
      <c r="H6" s="7"/>
      <c r="I6" s="7"/>
      <c r="J6" s="7"/>
      <c r="K6" s="7"/>
      <c r="L6" s="7"/>
      <c r="M6" s="7"/>
      <c r="N6" s="7"/>
      <c r="O6" s="7"/>
      <c r="P6" s="7"/>
      <c r="Q6" s="7"/>
    </row>
    <row r="7" spans="1:17" ht="48" hidden="1" customHeight="1" x14ac:dyDescent="0.2">
      <c r="A7" s="161" t="s">
        <v>3355</v>
      </c>
      <c r="B7" s="350" t="s">
        <v>3356</v>
      </c>
      <c r="C7" s="351"/>
      <c r="D7" s="7"/>
      <c r="E7" s="7"/>
      <c r="F7" s="7"/>
      <c r="G7" s="7"/>
      <c r="H7" s="7"/>
      <c r="I7" s="7"/>
      <c r="J7" s="7"/>
      <c r="K7" s="7"/>
      <c r="L7" s="7"/>
      <c r="M7" s="7"/>
      <c r="N7" s="7"/>
      <c r="O7" s="7"/>
      <c r="P7" s="7"/>
      <c r="Q7" s="7"/>
    </row>
    <row r="8" spans="1:17" ht="41.25" hidden="1" customHeight="1" x14ac:dyDescent="0.2">
      <c r="A8" s="161" t="s">
        <v>3357</v>
      </c>
      <c r="B8" s="350" t="s">
        <v>3358</v>
      </c>
      <c r="C8" s="351"/>
      <c r="D8" s="7"/>
      <c r="E8" s="7"/>
      <c r="F8" s="7"/>
      <c r="G8" s="7"/>
      <c r="H8" s="7"/>
      <c r="I8" s="7"/>
      <c r="J8" s="7"/>
      <c r="K8" s="7"/>
      <c r="L8" s="7"/>
      <c r="M8" s="7"/>
      <c r="N8" s="7"/>
      <c r="O8" s="7"/>
      <c r="P8" s="7"/>
      <c r="Q8" s="7"/>
    </row>
    <row r="9" spans="1:17" ht="59.25" hidden="1" customHeight="1" x14ac:dyDescent="0.2">
      <c r="A9" s="161" t="s">
        <v>3359</v>
      </c>
      <c r="B9" s="350" t="s">
        <v>3360</v>
      </c>
      <c r="C9" s="351"/>
      <c r="D9" s="7"/>
      <c r="E9" s="7"/>
      <c r="F9" s="7"/>
      <c r="G9" s="7"/>
      <c r="H9" s="7"/>
      <c r="I9" s="7"/>
      <c r="J9" s="7"/>
      <c r="K9" s="7"/>
      <c r="L9" s="7"/>
      <c r="M9" s="7"/>
      <c r="N9" s="7"/>
      <c r="O9" s="7"/>
      <c r="P9" s="7"/>
      <c r="Q9" s="7"/>
    </row>
    <row r="10" spans="1:17" ht="61.5" hidden="1" customHeight="1" x14ac:dyDescent="0.2">
      <c r="A10" s="161" t="s">
        <v>3359</v>
      </c>
      <c r="B10" s="350" t="s">
        <v>3361</v>
      </c>
      <c r="C10" s="351"/>
      <c r="D10" s="7"/>
      <c r="E10" s="7"/>
      <c r="F10" s="7"/>
      <c r="G10" s="7"/>
      <c r="H10" s="7"/>
      <c r="I10" s="7"/>
      <c r="J10" s="7"/>
      <c r="K10" s="7"/>
      <c r="L10" s="7"/>
      <c r="M10" s="7"/>
      <c r="N10" s="7"/>
      <c r="O10" s="7"/>
      <c r="P10" s="7"/>
      <c r="Q10" s="7"/>
    </row>
    <row r="11" spans="1:17" ht="43.5" hidden="1" customHeight="1" x14ac:dyDescent="0.2">
      <c r="A11" s="161" t="s">
        <v>3359</v>
      </c>
      <c r="B11" s="350" t="s">
        <v>3362</v>
      </c>
      <c r="C11" s="351"/>
      <c r="D11" s="7"/>
      <c r="E11" s="7"/>
      <c r="F11" s="7"/>
      <c r="G11" s="7"/>
      <c r="H11" s="7"/>
      <c r="I11" s="7"/>
      <c r="J11" s="7"/>
      <c r="K11" s="7"/>
      <c r="L11" s="7"/>
      <c r="M11" s="7"/>
      <c r="N11" s="7"/>
      <c r="O11" s="7"/>
      <c r="P11" s="7"/>
      <c r="Q11" s="7"/>
    </row>
    <row r="12" spans="1:17" ht="27.75" hidden="1" customHeight="1" x14ac:dyDescent="0.2">
      <c r="A12" s="161" t="s">
        <v>3363</v>
      </c>
      <c r="B12" s="350" t="s">
        <v>3364</v>
      </c>
      <c r="C12" s="351"/>
      <c r="D12" s="7"/>
      <c r="E12" s="7"/>
      <c r="F12" s="7"/>
      <c r="G12" s="7"/>
      <c r="H12" s="7"/>
      <c r="I12" s="7"/>
      <c r="J12" s="7"/>
      <c r="K12" s="7"/>
      <c r="L12" s="7"/>
      <c r="M12" s="7"/>
      <c r="N12" s="7"/>
      <c r="O12" s="7"/>
      <c r="P12" s="7"/>
      <c r="Q12" s="7"/>
    </row>
    <row r="13" spans="1:17" ht="27.75" hidden="1" customHeight="1" x14ac:dyDescent="0.2">
      <c r="A13" s="161" t="s">
        <v>3365</v>
      </c>
      <c r="B13" s="350" t="s">
        <v>3366</v>
      </c>
      <c r="C13" s="351"/>
      <c r="D13" s="7"/>
      <c r="E13" s="7"/>
      <c r="F13" s="7"/>
      <c r="G13" s="7"/>
      <c r="H13" s="7"/>
      <c r="I13" s="7"/>
      <c r="J13" s="7"/>
      <c r="K13" s="7"/>
      <c r="L13" s="7"/>
      <c r="M13" s="7"/>
      <c r="N13" s="7"/>
      <c r="O13" s="7"/>
      <c r="P13" s="7"/>
      <c r="Q13" s="7"/>
    </row>
    <row r="14" spans="1:17" ht="45.75" hidden="1" customHeight="1" x14ac:dyDescent="0.2">
      <c r="A14" s="161" t="s">
        <v>3367</v>
      </c>
      <c r="B14" s="350" t="s">
        <v>3368</v>
      </c>
      <c r="C14" s="351"/>
      <c r="D14" s="7"/>
      <c r="E14" s="7"/>
      <c r="F14" s="7"/>
      <c r="G14" s="7"/>
      <c r="H14" s="7"/>
      <c r="I14" s="7"/>
      <c r="J14" s="7"/>
      <c r="K14" s="7"/>
      <c r="L14" s="7"/>
      <c r="M14" s="7"/>
      <c r="N14" s="7"/>
      <c r="O14" s="7"/>
      <c r="P14" s="7"/>
      <c r="Q14" s="7"/>
    </row>
    <row r="15" spans="1:17" ht="45.75" hidden="1" customHeight="1" x14ac:dyDescent="0.2">
      <c r="A15" s="161" t="s">
        <v>3369</v>
      </c>
      <c r="B15" s="350" t="s">
        <v>3370</v>
      </c>
      <c r="C15" s="351"/>
      <c r="D15" s="7"/>
      <c r="E15" s="7"/>
      <c r="F15" s="7"/>
      <c r="G15" s="7"/>
      <c r="H15" s="7"/>
      <c r="I15" s="7"/>
      <c r="J15" s="7"/>
      <c r="K15" s="7"/>
      <c r="L15" s="7"/>
      <c r="M15" s="7"/>
      <c r="N15" s="7"/>
      <c r="O15" s="7"/>
      <c r="P15" s="7"/>
      <c r="Q15" s="7"/>
    </row>
    <row r="16" spans="1:17" ht="51" hidden="1" customHeight="1" x14ac:dyDescent="0.2">
      <c r="A16" s="161" t="s">
        <v>3371</v>
      </c>
      <c r="B16" s="350" t="s">
        <v>3372</v>
      </c>
      <c r="C16" s="351"/>
      <c r="D16" s="7"/>
      <c r="E16" s="7"/>
      <c r="F16" s="7"/>
      <c r="G16" s="7"/>
      <c r="H16" s="7"/>
      <c r="I16" s="7"/>
      <c r="J16" s="7"/>
      <c r="K16" s="7"/>
      <c r="L16" s="7"/>
      <c r="M16" s="7"/>
      <c r="N16" s="7"/>
      <c r="O16" s="7"/>
      <c r="P16" s="7"/>
      <c r="Q16" s="7"/>
    </row>
    <row r="17" spans="1:17" ht="27.75" hidden="1" customHeight="1" x14ac:dyDescent="0.2">
      <c r="A17" s="161" t="s">
        <v>3373</v>
      </c>
      <c r="B17" s="350" t="s">
        <v>3374</v>
      </c>
      <c r="C17" s="351"/>
      <c r="D17" s="7"/>
      <c r="E17" s="7"/>
      <c r="F17" s="7"/>
      <c r="G17" s="7"/>
      <c r="H17" s="7"/>
      <c r="I17" s="7"/>
      <c r="J17" s="7"/>
      <c r="K17" s="7"/>
      <c r="L17" s="7"/>
      <c r="M17" s="7"/>
      <c r="N17" s="7"/>
      <c r="O17" s="7"/>
      <c r="P17" s="7"/>
      <c r="Q17" s="7"/>
    </row>
    <row r="18" spans="1:17" ht="27.75" hidden="1" customHeight="1" x14ac:dyDescent="0.2">
      <c r="A18" s="161" t="s">
        <v>3375</v>
      </c>
      <c r="B18" s="350" t="s">
        <v>3376</v>
      </c>
      <c r="C18" s="351"/>
      <c r="D18" s="7"/>
      <c r="E18" s="7"/>
      <c r="F18" s="7"/>
      <c r="G18" s="7"/>
      <c r="H18" s="7"/>
      <c r="I18" s="7"/>
      <c r="J18" s="7"/>
      <c r="K18" s="7"/>
      <c r="L18" s="7"/>
      <c r="M18" s="7"/>
      <c r="N18" s="7"/>
      <c r="O18" s="7"/>
      <c r="P18" s="7"/>
      <c r="Q18" s="7"/>
    </row>
    <row r="19" spans="1:17" ht="45" hidden="1" customHeight="1" x14ac:dyDescent="0.2">
      <c r="A19" s="161" t="s">
        <v>3375</v>
      </c>
      <c r="B19" s="350" t="s">
        <v>3377</v>
      </c>
      <c r="C19" s="351"/>
      <c r="D19" s="7"/>
      <c r="E19" s="7"/>
      <c r="F19" s="7"/>
      <c r="G19" s="7"/>
      <c r="H19" s="7"/>
      <c r="I19" s="7"/>
      <c r="J19" s="7"/>
      <c r="K19" s="7"/>
      <c r="L19" s="7"/>
      <c r="M19" s="7"/>
      <c r="N19" s="7"/>
      <c r="O19" s="7"/>
      <c r="P19" s="7"/>
      <c r="Q19" s="7"/>
    </row>
    <row r="20" spans="1:17" ht="45" hidden="1" customHeight="1" x14ac:dyDescent="0.2">
      <c r="A20" s="161" t="s">
        <v>3378</v>
      </c>
      <c r="B20" s="350" t="s">
        <v>3379</v>
      </c>
      <c r="C20" s="351"/>
      <c r="D20" s="7"/>
      <c r="E20" s="7"/>
      <c r="F20" s="7"/>
      <c r="G20" s="7"/>
      <c r="H20" s="7"/>
      <c r="I20" s="7"/>
      <c r="J20" s="7"/>
      <c r="K20" s="7"/>
      <c r="L20" s="7"/>
      <c r="M20" s="7"/>
      <c r="N20" s="7"/>
      <c r="O20" s="7"/>
      <c r="P20" s="7"/>
      <c r="Q20" s="7"/>
    </row>
    <row r="21" spans="1:17" ht="30" hidden="1" customHeight="1" x14ac:dyDescent="0.2">
      <c r="A21" s="161" t="s">
        <v>3380</v>
      </c>
      <c r="B21" s="350" t="s">
        <v>3381</v>
      </c>
      <c r="C21" s="351"/>
      <c r="D21" s="7"/>
      <c r="E21" s="7"/>
      <c r="F21" s="7"/>
      <c r="G21" s="7"/>
      <c r="H21" s="7"/>
      <c r="I21" s="7"/>
      <c r="J21" s="7"/>
      <c r="K21" s="7"/>
      <c r="L21" s="7"/>
      <c r="M21" s="7"/>
      <c r="N21" s="7"/>
      <c r="O21" s="7"/>
      <c r="P21" s="7"/>
      <c r="Q21" s="7"/>
    </row>
    <row r="22" spans="1:17" ht="30" hidden="1" customHeight="1" x14ac:dyDescent="0.2">
      <c r="A22" s="161" t="s">
        <v>3382</v>
      </c>
      <c r="B22" s="350" t="s">
        <v>3383</v>
      </c>
      <c r="C22" s="351"/>
      <c r="D22" s="7"/>
      <c r="E22" s="7"/>
      <c r="F22" s="7"/>
      <c r="G22" s="7"/>
      <c r="H22" s="7"/>
      <c r="I22" s="7"/>
      <c r="J22" s="7"/>
      <c r="K22" s="7"/>
      <c r="L22" s="7"/>
      <c r="M22" s="7"/>
      <c r="N22" s="7"/>
      <c r="O22" s="7"/>
      <c r="P22" s="7"/>
      <c r="Q22" s="7"/>
    </row>
    <row r="23" spans="1:17" ht="30" hidden="1" customHeight="1" x14ac:dyDescent="0.2">
      <c r="A23" s="161" t="s">
        <v>3384</v>
      </c>
      <c r="B23" s="350" t="s">
        <v>3385</v>
      </c>
      <c r="C23" s="351"/>
      <c r="D23" s="7"/>
      <c r="E23" s="7"/>
      <c r="F23" s="7"/>
      <c r="G23" s="7"/>
      <c r="H23" s="7"/>
      <c r="I23" s="7"/>
      <c r="J23" s="7"/>
      <c r="K23" s="7"/>
      <c r="L23" s="7"/>
      <c r="M23" s="7"/>
      <c r="N23" s="7"/>
      <c r="O23" s="7"/>
      <c r="P23" s="7"/>
      <c r="Q23" s="7"/>
    </row>
    <row r="24" spans="1:17" ht="30" hidden="1" customHeight="1" x14ac:dyDescent="0.2">
      <c r="A24" s="161" t="s">
        <v>3386</v>
      </c>
      <c r="B24" s="350" t="s">
        <v>3387</v>
      </c>
      <c r="C24" s="351"/>
      <c r="D24" s="7"/>
      <c r="E24" s="7"/>
      <c r="F24" s="7"/>
      <c r="G24" s="7"/>
      <c r="H24" s="7"/>
      <c r="I24" s="7"/>
      <c r="J24" s="7"/>
      <c r="K24" s="7"/>
      <c r="L24" s="7"/>
      <c r="M24" s="7"/>
      <c r="N24" s="7"/>
      <c r="O24" s="7"/>
      <c r="P24" s="7"/>
      <c r="Q24" s="7"/>
    </row>
    <row r="25" spans="1:17" ht="30" hidden="1" customHeight="1" x14ac:dyDescent="0.2">
      <c r="A25" s="161" t="s">
        <v>3388</v>
      </c>
      <c r="B25" s="350" t="s">
        <v>3389</v>
      </c>
      <c r="C25" s="351"/>
      <c r="D25" s="7"/>
      <c r="E25" s="7"/>
      <c r="F25" s="7"/>
      <c r="G25" s="7"/>
      <c r="H25" s="7"/>
      <c r="I25" s="7"/>
      <c r="J25" s="7"/>
      <c r="K25" s="7"/>
      <c r="L25" s="7"/>
      <c r="M25" s="7"/>
      <c r="N25" s="7"/>
      <c r="O25" s="7"/>
      <c r="P25" s="7"/>
      <c r="Q25" s="7"/>
    </row>
    <row r="26" spans="1:17" ht="30" hidden="1" customHeight="1" x14ac:dyDescent="0.2">
      <c r="A26" s="161" t="s">
        <v>3390</v>
      </c>
      <c r="B26" s="350" t="s">
        <v>3391</v>
      </c>
      <c r="C26" s="351"/>
      <c r="D26" s="7"/>
      <c r="E26" s="7"/>
      <c r="F26" s="7"/>
      <c r="G26" s="7"/>
      <c r="H26" s="7"/>
      <c r="I26" s="7"/>
      <c r="J26" s="7"/>
      <c r="K26" s="7"/>
      <c r="L26" s="7"/>
      <c r="M26" s="7"/>
      <c r="N26" s="7"/>
      <c r="O26" s="7"/>
      <c r="P26" s="7"/>
      <c r="Q26" s="7"/>
    </row>
    <row r="27" spans="1:17" ht="70.5" hidden="1" customHeight="1" x14ac:dyDescent="0.2">
      <c r="A27" s="161" t="s">
        <v>3392</v>
      </c>
      <c r="B27" s="350" t="s">
        <v>3393</v>
      </c>
      <c r="C27" s="351"/>
      <c r="D27" s="7"/>
      <c r="E27" s="7"/>
      <c r="F27" s="7"/>
      <c r="G27" s="7"/>
      <c r="H27" s="7"/>
      <c r="I27" s="7"/>
      <c r="J27" s="7"/>
      <c r="K27" s="7"/>
      <c r="L27" s="7"/>
      <c r="M27" s="7"/>
      <c r="N27" s="7"/>
      <c r="O27" s="7"/>
      <c r="P27" s="7"/>
      <c r="Q27" s="7"/>
    </row>
    <row r="28" spans="1:17" ht="48" hidden="1" customHeight="1" x14ac:dyDescent="0.2">
      <c r="A28" s="161" t="s">
        <v>3394</v>
      </c>
      <c r="B28" s="350" t="s">
        <v>3395</v>
      </c>
      <c r="C28" s="351"/>
      <c r="D28" s="7"/>
      <c r="E28" s="7"/>
      <c r="F28" s="7"/>
      <c r="G28" s="7"/>
      <c r="H28" s="7"/>
      <c r="I28" s="7"/>
      <c r="J28" s="7"/>
      <c r="K28" s="7"/>
      <c r="L28" s="7"/>
      <c r="M28" s="7"/>
      <c r="N28" s="7"/>
      <c r="O28" s="7"/>
      <c r="P28" s="7"/>
      <c r="Q28" s="7"/>
    </row>
    <row r="29" spans="1:17" ht="100.5" hidden="1" customHeight="1" x14ac:dyDescent="0.2">
      <c r="A29" s="161" t="s">
        <v>3396</v>
      </c>
      <c r="B29" s="350" t="s">
        <v>3397</v>
      </c>
      <c r="C29" s="351"/>
      <c r="D29" s="7"/>
      <c r="E29" s="7"/>
      <c r="F29" s="7"/>
      <c r="G29" s="7"/>
      <c r="H29" s="7"/>
      <c r="I29" s="7"/>
      <c r="J29" s="7"/>
      <c r="K29" s="7"/>
      <c r="L29" s="7"/>
      <c r="M29" s="7"/>
      <c r="N29" s="7"/>
      <c r="O29" s="7"/>
      <c r="P29" s="7"/>
      <c r="Q29" s="7"/>
    </row>
    <row r="30" spans="1:17" ht="45" hidden="1" customHeight="1" x14ac:dyDescent="0.2">
      <c r="A30" s="161" t="s">
        <v>3398</v>
      </c>
      <c r="B30" s="350" t="s">
        <v>3399</v>
      </c>
      <c r="C30" s="351"/>
      <c r="D30" s="7"/>
      <c r="E30" s="7"/>
      <c r="F30" s="7"/>
      <c r="G30" s="7"/>
      <c r="H30" s="7"/>
      <c r="I30" s="7"/>
      <c r="J30" s="7"/>
      <c r="K30" s="7"/>
      <c r="L30" s="7"/>
      <c r="M30" s="7"/>
      <c r="N30" s="7"/>
      <c r="O30" s="7"/>
      <c r="P30" s="7"/>
      <c r="Q30" s="7"/>
    </row>
    <row r="31" spans="1:17" ht="45" hidden="1" customHeight="1" x14ac:dyDescent="0.2">
      <c r="A31" s="161" t="s">
        <v>3400</v>
      </c>
      <c r="B31" s="350" t="s">
        <v>3401</v>
      </c>
      <c r="C31" s="351"/>
      <c r="D31" s="7"/>
      <c r="E31" s="7"/>
      <c r="F31" s="7"/>
      <c r="G31" s="7"/>
      <c r="H31" s="7"/>
      <c r="I31" s="7"/>
      <c r="J31" s="7"/>
      <c r="K31" s="7"/>
      <c r="L31" s="7"/>
      <c r="M31" s="7"/>
      <c r="N31" s="7"/>
      <c r="O31" s="7"/>
      <c r="P31" s="7"/>
      <c r="Q31" s="7"/>
    </row>
    <row r="32" spans="1:17" ht="45" hidden="1" customHeight="1" x14ac:dyDescent="0.2">
      <c r="A32" s="161" t="s">
        <v>3402</v>
      </c>
      <c r="B32" s="350" t="s">
        <v>3403</v>
      </c>
      <c r="C32" s="351"/>
      <c r="D32" s="7"/>
      <c r="E32" s="7"/>
      <c r="F32" s="7"/>
      <c r="G32" s="7"/>
      <c r="H32" s="7"/>
      <c r="I32" s="7"/>
      <c r="J32" s="7"/>
      <c r="K32" s="7"/>
      <c r="L32" s="7"/>
      <c r="M32" s="7"/>
      <c r="N32" s="7"/>
      <c r="O32" s="7"/>
      <c r="P32" s="7"/>
      <c r="Q32" s="7"/>
    </row>
    <row r="33" spans="1:17" ht="72" hidden="1" customHeight="1" x14ac:dyDescent="0.2">
      <c r="A33" s="161" t="s">
        <v>3404</v>
      </c>
      <c r="B33" s="350" t="s">
        <v>3405</v>
      </c>
      <c r="C33" s="351"/>
      <c r="D33" s="7"/>
      <c r="E33" s="7"/>
      <c r="F33" s="7"/>
      <c r="G33" s="7"/>
      <c r="H33" s="7"/>
      <c r="I33" s="7"/>
      <c r="J33" s="7"/>
      <c r="K33" s="7"/>
      <c r="L33" s="7"/>
      <c r="M33" s="7"/>
      <c r="N33" s="7"/>
      <c r="O33" s="7"/>
      <c r="P33" s="7"/>
      <c r="Q33" s="7"/>
    </row>
    <row r="34" spans="1:17" ht="79.5" hidden="1" customHeight="1" x14ac:dyDescent="0.2">
      <c r="A34" s="161" t="s">
        <v>3406</v>
      </c>
      <c r="B34" s="350" t="s">
        <v>3407</v>
      </c>
      <c r="C34" s="351"/>
      <c r="D34" s="7"/>
      <c r="E34" s="7"/>
      <c r="F34" s="7"/>
      <c r="G34" s="7"/>
      <c r="H34" s="7"/>
      <c r="I34" s="7"/>
      <c r="J34" s="7"/>
      <c r="K34" s="7"/>
      <c r="L34" s="7"/>
      <c r="M34" s="7"/>
      <c r="N34" s="7"/>
      <c r="O34" s="7"/>
      <c r="P34" s="7"/>
      <c r="Q34" s="7"/>
    </row>
    <row r="35" spans="1:17" ht="70.5" hidden="1" customHeight="1" x14ac:dyDescent="0.2">
      <c r="A35" s="161" t="s">
        <v>3408</v>
      </c>
      <c r="B35" s="350" t="s">
        <v>3409</v>
      </c>
      <c r="C35" s="351"/>
      <c r="D35" s="7"/>
      <c r="E35" s="7"/>
      <c r="F35" s="7"/>
      <c r="G35" s="7"/>
      <c r="H35" s="7"/>
      <c r="I35" s="7"/>
      <c r="J35" s="7"/>
      <c r="K35" s="7"/>
      <c r="L35" s="7"/>
      <c r="M35" s="7"/>
      <c r="N35" s="7"/>
      <c r="O35" s="7"/>
      <c r="P35" s="7"/>
      <c r="Q35" s="7"/>
    </row>
    <row r="36" spans="1:17" ht="45.75" hidden="1" customHeight="1" x14ac:dyDescent="0.2">
      <c r="A36" s="161" t="s">
        <v>3410</v>
      </c>
      <c r="B36" s="350" t="s">
        <v>3411</v>
      </c>
      <c r="C36" s="351"/>
      <c r="D36" s="7"/>
      <c r="E36" s="7"/>
      <c r="F36" s="7"/>
      <c r="G36" s="7"/>
      <c r="H36" s="7"/>
      <c r="I36" s="7"/>
      <c r="J36" s="7"/>
      <c r="K36" s="7"/>
      <c r="L36" s="7"/>
      <c r="M36" s="7"/>
      <c r="N36" s="7"/>
      <c r="O36" s="7"/>
      <c r="P36" s="7"/>
      <c r="Q36" s="7"/>
    </row>
    <row r="37" spans="1:17" ht="54.75" hidden="1" customHeight="1" x14ac:dyDescent="0.2">
      <c r="A37" s="161" t="s">
        <v>3412</v>
      </c>
      <c r="B37" s="350" t="s">
        <v>3413</v>
      </c>
      <c r="C37" s="351"/>
      <c r="D37" s="7"/>
      <c r="E37" s="7"/>
      <c r="F37" s="7"/>
      <c r="G37" s="7"/>
      <c r="H37" s="7"/>
      <c r="I37" s="7"/>
      <c r="J37" s="7"/>
      <c r="K37" s="7"/>
      <c r="L37" s="7"/>
      <c r="M37" s="7"/>
      <c r="N37" s="7"/>
      <c r="O37" s="7"/>
      <c r="P37" s="7"/>
      <c r="Q37" s="7"/>
    </row>
    <row r="38" spans="1:17" ht="37.5" hidden="1" customHeight="1" x14ac:dyDescent="0.2">
      <c r="A38" s="161" t="s">
        <v>3414</v>
      </c>
      <c r="B38" s="350" t="s">
        <v>3415</v>
      </c>
      <c r="C38" s="351"/>
      <c r="D38" s="7"/>
      <c r="E38" s="7"/>
      <c r="F38" s="7"/>
      <c r="G38" s="7"/>
      <c r="H38" s="7"/>
      <c r="I38" s="7"/>
      <c r="J38" s="7"/>
      <c r="K38" s="7"/>
      <c r="L38" s="7"/>
      <c r="M38" s="7"/>
      <c r="N38" s="7"/>
      <c r="O38" s="7"/>
      <c r="P38" s="7"/>
      <c r="Q38" s="7"/>
    </row>
    <row r="39" spans="1:17" ht="61.5" hidden="1" customHeight="1" x14ac:dyDescent="0.2">
      <c r="A39" s="161" t="s">
        <v>3416</v>
      </c>
      <c r="B39" s="350" t="s">
        <v>3417</v>
      </c>
      <c r="C39" s="351"/>
      <c r="D39" s="7"/>
      <c r="E39" s="7"/>
      <c r="F39" s="7"/>
      <c r="G39" s="7"/>
      <c r="H39" s="7"/>
      <c r="I39" s="7"/>
      <c r="J39" s="7"/>
      <c r="K39" s="7"/>
      <c r="L39" s="7"/>
      <c r="M39" s="7"/>
      <c r="N39" s="7"/>
      <c r="O39" s="7"/>
      <c r="P39" s="7"/>
      <c r="Q39" s="7"/>
    </row>
    <row r="40" spans="1:17" ht="53.25" hidden="1" customHeight="1" x14ac:dyDescent="0.2">
      <c r="A40" s="161" t="s">
        <v>3418</v>
      </c>
      <c r="B40" s="350" t="s">
        <v>3419</v>
      </c>
      <c r="C40" s="351"/>
      <c r="D40" s="7"/>
      <c r="E40" s="7"/>
      <c r="F40" s="7"/>
      <c r="G40" s="7"/>
      <c r="H40" s="7"/>
      <c r="I40" s="7"/>
      <c r="J40" s="7"/>
      <c r="K40" s="7"/>
      <c r="L40" s="7"/>
      <c r="M40" s="7"/>
      <c r="N40" s="7"/>
      <c r="O40" s="7"/>
      <c r="P40" s="7"/>
      <c r="Q40" s="7"/>
    </row>
    <row r="41" spans="1:17" ht="73.5" hidden="1" customHeight="1" x14ac:dyDescent="0.2">
      <c r="A41" s="161" t="s">
        <v>3420</v>
      </c>
      <c r="B41" s="350" t="s">
        <v>3421</v>
      </c>
      <c r="C41" s="351"/>
      <c r="D41" s="7"/>
      <c r="E41" s="7"/>
      <c r="F41" s="7"/>
      <c r="G41" s="7"/>
      <c r="H41" s="7"/>
      <c r="I41" s="7"/>
      <c r="J41" s="7"/>
      <c r="K41" s="7"/>
      <c r="L41" s="7"/>
      <c r="M41" s="7"/>
      <c r="N41" s="7"/>
      <c r="O41" s="7"/>
      <c r="P41" s="7"/>
      <c r="Q41" s="7"/>
    </row>
    <row r="42" spans="1:17" ht="57.75" hidden="1" customHeight="1" x14ac:dyDescent="0.2">
      <c r="A42" s="161" t="s">
        <v>3422</v>
      </c>
      <c r="B42" s="350" t="s">
        <v>3423</v>
      </c>
      <c r="C42" s="351"/>
      <c r="D42" s="7"/>
      <c r="E42" s="7"/>
      <c r="F42" s="7"/>
      <c r="G42" s="7"/>
      <c r="H42" s="7"/>
      <c r="I42" s="7"/>
      <c r="J42" s="7"/>
      <c r="K42" s="7"/>
      <c r="L42" s="7"/>
      <c r="M42" s="7"/>
      <c r="N42" s="7"/>
      <c r="O42" s="7"/>
      <c r="P42" s="7"/>
      <c r="Q42" s="7"/>
    </row>
    <row r="43" spans="1:17" ht="84" hidden="1" customHeight="1" x14ac:dyDescent="0.2">
      <c r="A43" s="161" t="s">
        <v>3424</v>
      </c>
      <c r="B43" s="350" t="s">
        <v>3425</v>
      </c>
      <c r="C43" s="351"/>
      <c r="D43" s="7"/>
      <c r="E43" s="7"/>
      <c r="F43" s="7"/>
      <c r="G43" s="7"/>
      <c r="H43" s="7"/>
      <c r="I43" s="7"/>
      <c r="J43" s="7"/>
      <c r="K43" s="7"/>
      <c r="L43" s="7"/>
      <c r="M43" s="7"/>
      <c r="N43" s="7"/>
      <c r="O43" s="7"/>
      <c r="P43" s="7"/>
      <c r="Q43" s="7"/>
    </row>
    <row r="44" spans="1:17" ht="48" hidden="1" customHeight="1" x14ac:dyDescent="0.2">
      <c r="A44" s="161" t="s">
        <v>3426</v>
      </c>
      <c r="B44" s="350" t="s">
        <v>3427</v>
      </c>
      <c r="C44" s="351"/>
      <c r="D44" s="7"/>
      <c r="E44" s="7"/>
      <c r="F44" s="7"/>
      <c r="G44" s="7"/>
      <c r="H44" s="7"/>
      <c r="I44" s="7"/>
      <c r="J44" s="7"/>
      <c r="K44" s="7"/>
      <c r="L44" s="7"/>
      <c r="M44" s="7"/>
      <c r="N44" s="7"/>
      <c r="O44" s="7"/>
      <c r="P44" s="7"/>
      <c r="Q44" s="7"/>
    </row>
    <row r="45" spans="1:17" ht="57" hidden="1" customHeight="1" x14ac:dyDescent="0.2">
      <c r="A45" s="161" t="s">
        <v>3428</v>
      </c>
      <c r="B45" s="350" t="s">
        <v>3429</v>
      </c>
      <c r="C45" s="351"/>
      <c r="D45" s="7"/>
      <c r="E45" s="7"/>
      <c r="F45" s="7"/>
      <c r="G45" s="7"/>
      <c r="H45" s="7"/>
      <c r="I45" s="7"/>
      <c r="J45" s="7"/>
      <c r="K45" s="7"/>
      <c r="L45" s="7"/>
      <c r="M45" s="7"/>
      <c r="N45" s="7"/>
      <c r="O45" s="7"/>
      <c r="P45" s="7"/>
      <c r="Q45" s="7"/>
    </row>
    <row r="46" spans="1:17" ht="73.5" hidden="1" customHeight="1" x14ac:dyDescent="0.2">
      <c r="A46" s="161" t="s">
        <v>3430</v>
      </c>
      <c r="B46" s="350" t="s">
        <v>3431</v>
      </c>
      <c r="C46" s="351"/>
      <c r="D46" s="39"/>
      <c r="E46" s="7"/>
      <c r="F46" s="7"/>
      <c r="G46" s="7"/>
      <c r="H46" s="7"/>
      <c r="I46" s="7"/>
      <c r="J46" s="7"/>
      <c r="K46" s="7"/>
      <c r="L46" s="7"/>
      <c r="M46" s="7"/>
      <c r="N46" s="7"/>
      <c r="O46" s="7"/>
      <c r="P46" s="7"/>
      <c r="Q46" s="7"/>
    </row>
    <row r="47" spans="1:17" ht="66" hidden="1" customHeight="1" x14ac:dyDescent="0.2">
      <c r="A47" s="162" t="s">
        <v>3432</v>
      </c>
      <c r="B47" s="356" t="s">
        <v>3433</v>
      </c>
      <c r="C47" s="356"/>
      <c r="D47" s="7"/>
      <c r="E47" s="7"/>
      <c r="F47" s="7"/>
      <c r="G47" s="7"/>
      <c r="H47" s="7"/>
      <c r="I47" s="7"/>
      <c r="J47" s="7"/>
      <c r="K47" s="7"/>
      <c r="L47" s="7"/>
      <c r="M47" s="7"/>
      <c r="N47" s="7"/>
      <c r="O47" s="7"/>
      <c r="P47" s="7"/>
      <c r="Q47" s="7"/>
    </row>
    <row r="48" spans="1:17" ht="123.75" customHeight="1" x14ac:dyDescent="0.2">
      <c r="A48" s="162" t="s">
        <v>3434</v>
      </c>
      <c r="B48" s="350" t="s">
        <v>3435</v>
      </c>
      <c r="C48" s="351"/>
      <c r="D48" s="7"/>
      <c r="E48" s="7"/>
      <c r="F48" s="7"/>
      <c r="G48" s="7"/>
      <c r="H48" s="7"/>
      <c r="I48" s="7"/>
      <c r="J48" s="7"/>
      <c r="K48" s="7"/>
      <c r="L48" s="7"/>
      <c r="M48" s="7"/>
      <c r="N48" s="7"/>
      <c r="O48" s="7"/>
      <c r="P48" s="7"/>
      <c r="Q48" s="7"/>
    </row>
    <row r="49" spans="1:17" ht="34.5" customHeight="1" x14ac:dyDescent="0.2">
      <c r="A49" s="162" t="s">
        <v>3436</v>
      </c>
      <c r="B49" s="350" t="s">
        <v>3437</v>
      </c>
      <c r="C49" s="351"/>
      <c r="D49" s="7"/>
      <c r="E49" s="7"/>
      <c r="F49" s="7"/>
      <c r="G49" s="7"/>
      <c r="H49" s="7"/>
      <c r="I49" s="7"/>
      <c r="J49" s="7"/>
      <c r="K49" s="7"/>
      <c r="L49" s="7"/>
      <c r="M49" s="7"/>
      <c r="N49" s="7"/>
      <c r="O49" s="7"/>
      <c r="P49" s="7"/>
      <c r="Q49" s="7"/>
    </row>
    <row r="50" spans="1:17" ht="34.5" customHeight="1" x14ac:dyDescent="0.2">
      <c r="A50" s="162" t="s">
        <v>3438</v>
      </c>
      <c r="B50" s="350" t="s">
        <v>3439</v>
      </c>
      <c r="C50" s="351"/>
      <c r="D50" s="7"/>
      <c r="E50" s="7"/>
      <c r="F50" s="7"/>
      <c r="G50" s="7"/>
      <c r="H50" s="7"/>
      <c r="I50" s="7"/>
      <c r="J50" s="7"/>
      <c r="K50" s="7"/>
      <c r="L50" s="7"/>
      <c r="M50" s="7"/>
      <c r="N50" s="7"/>
      <c r="O50" s="7"/>
      <c r="P50" s="7"/>
      <c r="Q50" s="7"/>
    </row>
    <row r="51" spans="1:17" ht="31.5" customHeight="1" x14ac:dyDescent="0.2">
      <c r="A51" s="162" t="s">
        <v>3440</v>
      </c>
      <c r="B51" s="350" t="s">
        <v>3441</v>
      </c>
      <c r="C51" s="351"/>
      <c r="D51" s="7"/>
      <c r="E51" s="7"/>
      <c r="F51" s="7"/>
      <c r="G51" s="7"/>
      <c r="H51" s="7"/>
      <c r="I51" s="7"/>
      <c r="J51" s="7"/>
      <c r="K51" s="7"/>
      <c r="L51" s="7"/>
      <c r="M51" s="7"/>
      <c r="N51" s="7"/>
      <c r="O51" s="7"/>
      <c r="P51" s="7"/>
      <c r="Q51" s="7"/>
    </row>
    <row r="52" spans="1:17" ht="31.5" customHeight="1" x14ac:dyDescent="0.2">
      <c r="A52" s="162" t="s">
        <v>3442</v>
      </c>
      <c r="B52" s="350" t="s">
        <v>3443</v>
      </c>
      <c r="C52" s="351"/>
      <c r="D52" s="7"/>
      <c r="E52" s="7"/>
      <c r="F52" s="7"/>
      <c r="G52" s="7"/>
      <c r="H52" s="7"/>
      <c r="I52" s="7"/>
      <c r="J52" s="7"/>
      <c r="K52" s="7"/>
      <c r="L52" s="7"/>
      <c r="M52" s="7"/>
      <c r="N52" s="7"/>
      <c r="O52" s="7"/>
      <c r="P52" s="7"/>
      <c r="Q52" s="7"/>
    </row>
    <row r="53" spans="1:17" ht="31.5" customHeight="1" x14ac:dyDescent="0.2">
      <c r="A53" s="162" t="s">
        <v>3444</v>
      </c>
      <c r="B53" s="348" t="s">
        <v>3445</v>
      </c>
      <c r="C53" s="349"/>
      <c r="D53" s="7"/>
      <c r="E53" s="7"/>
      <c r="F53" s="7"/>
      <c r="G53" s="7"/>
      <c r="H53" s="7"/>
      <c r="I53" s="7"/>
      <c r="J53" s="7"/>
      <c r="K53" s="7"/>
      <c r="L53" s="7"/>
      <c r="M53" s="7"/>
      <c r="N53" s="7"/>
      <c r="O53" s="7"/>
      <c r="P53" s="7"/>
      <c r="Q53" s="7"/>
    </row>
    <row r="54" spans="1:17" ht="31.5" customHeight="1" x14ac:dyDescent="0.2">
      <c r="A54" s="162" t="s">
        <v>3446</v>
      </c>
      <c r="B54" s="348" t="s">
        <v>3447</v>
      </c>
      <c r="C54" s="349"/>
      <c r="D54" s="7"/>
      <c r="E54" s="7"/>
      <c r="F54" s="7"/>
      <c r="G54" s="7"/>
      <c r="H54" s="7"/>
      <c r="I54" s="7"/>
      <c r="J54" s="7"/>
      <c r="K54" s="7"/>
      <c r="L54" s="7"/>
      <c r="M54" s="7"/>
      <c r="N54" s="7"/>
      <c r="O54" s="7"/>
      <c r="P54" s="7"/>
      <c r="Q54" s="7"/>
    </row>
    <row r="55" spans="1:17" ht="54.6" customHeight="1" x14ac:dyDescent="0.2">
      <c r="A55" s="162" t="s">
        <v>3448</v>
      </c>
      <c r="B55" s="348" t="s">
        <v>3449</v>
      </c>
      <c r="C55" s="349"/>
      <c r="D55" s="7"/>
      <c r="E55" s="7"/>
      <c r="F55" s="7"/>
      <c r="G55" s="7"/>
      <c r="H55" s="7"/>
      <c r="I55" s="7"/>
      <c r="J55" s="7"/>
      <c r="K55" s="7"/>
      <c r="L55" s="7"/>
      <c r="M55" s="7"/>
      <c r="N55" s="7"/>
      <c r="O55" s="7"/>
      <c r="P55" s="7"/>
      <c r="Q55" s="7"/>
    </row>
    <row r="56" spans="1:17" ht="54.6" customHeight="1" x14ac:dyDescent="0.2">
      <c r="A56" s="162" t="s">
        <v>3450</v>
      </c>
      <c r="B56" s="348" t="s">
        <v>3451</v>
      </c>
      <c r="C56" s="349"/>
      <c r="D56" s="7"/>
      <c r="E56" s="7"/>
      <c r="F56" s="7"/>
      <c r="G56" s="7"/>
      <c r="H56" s="7"/>
      <c r="I56" s="7"/>
      <c r="J56" s="7"/>
      <c r="K56" s="7"/>
      <c r="L56" s="7"/>
      <c r="M56" s="7"/>
      <c r="N56" s="7"/>
      <c r="O56" s="7"/>
      <c r="P56" s="7"/>
      <c r="Q56" s="7"/>
    </row>
    <row r="57" spans="1:17" ht="54" customHeight="1" x14ac:dyDescent="0.2">
      <c r="A57" s="162" t="s">
        <v>3452</v>
      </c>
      <c r="B57" s="348" t="s">
        <v>3453</v>
      </c>
      <c r="C57" s="349"/>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Rakovec</cp:lastModifiedBy>
  <cp:lastPrinted>2025-02-11T13:49:04Z</cp:lastPrinted>
  <dcterms:created xsi:type="dcterms:W3CDTF">2022-04-01T05:14:30Z</dcterms:created>
  <dcterms:modified xsi:type="dcterms:W3CDTF">2025-02-19T10:20:18Z</dcterms:modified>
</cp:coreProperties>
</file>